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a_delovni_zvezek"/>
  <bookViews>
    <workbookView xWindow="1095" yWindow="330" windowWidth="13110" windowHeight="11700" tabRatio="856" activeTab="0"/>
  </bookViews>
  <sheets>
    <sheet name="Rekapitulacija" sheetId="1" r:id="rId1"/>
    <sheet name="Prezračevanje " sheetId="2" r:id="rId2"/>
    <sheet name="Voda,Ogrevanje" sheetId="3" r:id="rId3"/>
    <sheet name="Termostatski ventili" sheetId="4" r:id="rId4"/>
    <sheet name="DV-IDENTITY-0" sheetId="5" state="veryHidden" r:id="rId5"/>
    <sheet name="Elekto napeljave" sheetId="6" r:id="rId6"/>
    <sheet name="IZJAVA" sheetId="7" r:id="rId7"/>
  </sheets>
  <definedNames>
    <definedName name="_xlnm.Print_Area" localSheetId="1">'Prezračevanje '!$A$1:$F$85</definedName>
    <definedName name="_xlnm.Print_Area" localSheetId="3">'Termostatski ventili'!$A$1:$F$37</definedName>
    <definedName name="_xlnm.Print_Area" localSheetId="2">'Voda,Ogrevanje'!$A$1:$F$105</definedName>
    <definedName name="_xlnm.Print_Titles" localSheetId="1">'Prezračevanje '!$6:$7</definedName>
    <definedName name="_xlnm.Print_Titles" localSheetId="3">'Termostatski ventili'!$5:$6</definedName>
    <definedName name="_xlnm.Print_Titles" localSheetId="2">'Voda,Ogrevanje'!$5:$6</definedName>
  </definedNames>
  <calcPr fullCalcOnLoad="1"/>
</workbook>
</file>

<file path=xl/sharedStrings.xml><?xml version="1.0" encoding="utf-8"?>
<sst xmlns="http://schemas.openxmlformats.org/spreadsheetml/2006/main" count="487" uniqueCount="233">
  <si>
    <t>kpl</t>
  </si>
  <si>
    <t>m</t>
  </si>
  <si>
    <t>kos</t>
  </si>
  <si>
    <t>OPOMBA:</t>
  </si>
  <si>
    <t>Enota</t>
  </si>
  <si>
    <t>Količina</t>
  </si>
  <si>
    <t xml:space="preserve">Znesek v € brez DDV </t>
  </si>
  <si>
    <t>DN 20</t>
  </si>
  <si>
    <t>DN 25</t>
  </si>
  <si>
    <t>Opis</t>
  </si>
  <si>
    <t xml:space="preserve">Cena na enoto v € </t>
  </si>
  <si>
    <t>15.</t>
  </si>
  <si>
    <t>10.</t>
  </si>
  <si>
    <t>11.</t>
  </si>
  <si>
    <t>13.</t>
  </si>
  <si>
    <t>14.</t>
  </si>
  <si>
    <t>17.</t>
  </si>
  <si>
    <t>18.</t>
  </si>
  <si>
    <t>19.</t>
  </si>
  <si>
    <t>20.</t>
  </si>
  <si>
    <t>Pripravljalna dela, splošni in transportni stroški, izdelava navodil za obratovanje, predaja gradbene dokum. po 91. členu ZGO-1-UPB1 ter garancije za opremo in izvedbo ter zaključna dela</t>
  </si>
  <si>
    <t>kg</t>
  </si>
  <si>
    <t>ur</t>
  </si>
  <si>
    <t>kom</t>
  </si>
  <si>
    <t>01.</t>
  </si>
  <si>
    <t>02.</t>
  </si>
  <si>
    <t>03.</t>
  </si>
  <si>
    <t>04.</t>
  </si>
  <si>
    <t>05.</t>
  </si>
  <si>
    <t>06.</t>
  </si>
  <si>
    <t>16.</t>
  </si>
  <si>
    <t>DN 15</t>
  </si>
  <si>
    <t>Prednastavitev grelnih teles, pozkusni zagon in regulacija celotnega ogrevalnega sistema.</t>
  </si>
  <si>
    <t>Poizkusni zagon, regulacija pretočnih količin, tlačni preizkus,  meritve količin, hrupa, izdelava navodil za obratovanje s strani pooblaščene institucije.</t>
  </si>
  <si>
    <t>07.</t>
  </si>
  <si>
    <t>08.</t>
  </si>
  <si>
    <t>09.</t>
  </si>
  <si>
    <t>12.</t>
  </si>
  <si>
    <t>POPIS MATERIALA IN DEL</t>
  </si>
  <si>
    <t>PREZRAČEVANJE</t>
  </si>
  <si>
    <t>PV-2/100</t>
  </si>
  <si>
    <t xml:space="preserve">Dobava in montaža obešalnega materiala za pločevinaste kanale, korozijsko zaščitenega s pocinkanjem </t>
  </si>
  <si>
    <r>
      <t>m</t>
    </r>
    <r>
      <rPr>
        <vertAlign val="superscript"/>
        <sz val="10"/>
        <rFont val="Arial"/>
        <family val="2"/>
      </rPr>
      <t>2</t>
    </r>
  </si>
  <si>
    <t xml:space="preserve">Razna nepredvidena dela za potrebe selitve, premestitve, predelave, itd. elementov, ki so deplacirane na mestu predvidene nove opreme. </t>
  </si>
  <si>
    <t>Funkcionalni preizkus in pregled delovanja sistema aktivne požarne zaščite (požarne lopute, izklopi naprav, alarmiranje) s strani pooblaščene institucije.</t>
  </si>
  <si>
    <t>Oprema opisana v popisu se lahko zamenja z opremo drugega proizvajalca z predhodnim soglasjem projektanta. Vendar mora imeti enake ali boljše karakteristike.</t>
  </si>
  <si>
    <t>Številka                postavke</t>
  </si>
  <si>
    <t>Dobava in montaža izolacije proizvod Armaflex tip AC 19 mm za izolacijo dovodnih kanalov na prezračevalne naprave. Vključno lepilo za lepljenje na kanal</t>
  </si>
  <si>
    <t>825/225</t>
  </si>
  <si>
    <t>625/325</t>
  </si>
  <si>
    <t>625/225</t>
  </si>
  <si>
    <t>525/125</t>
  </si>
  <si>
    <t>525/225</t>
  </si>
  <si>
    <t>Dobava in montaža zidne okrogle rešetke za zajem/izpuh zraka. Tip kot npr.: Hidria OZR-1/S. Komplet z pritrdilnim in tesnilnim materialom ter protimrčesno mrežo. Z  predpripravo zidu in tesnenjem elementa. V RAL barvi po želji investitorja. Dimenzije:</t>
  </si>
  <si>
    <r>
      <t>Dobava in montaža zidne prezračevalne naprave. Proizvod kot npr.: Helios tip: KWL EC 60 Eco, Vdo=60m</t>
    </r>
    <r>
      <rPr>
        <sz val="10"/>
        <rFont val="Arial"/>
        <family val="2"/>
      </rPr>
      <t>³</t>
    </r>
    <r>
      <rPr>
        <sz val="10"/>
        <rFont val="Arial CE"/>
        <family val="2"/>
      </rPr>
      <t>/h. Vod=60m³/h. El.pod.: 230V 50Hz 2x4W 0,06A. Z toplotnim izmenjevalcem nad 70% izkoristka odpadne toplote.Dim. naprave: VxŠ: 370x370mm dolžina se prilagodi na debelino izdu. Komplet z vsem potrebnim pritrdilnim in tesnilnim, kablirnim materialom na omrežje ter zagonom. Teža 13kg. Za potrebe prezračevanja sanitarij.</t>
    </r>
  </si>
  <si>
    <t>fi 160mm</t>
  </si>
  <si>
    <t>Dobava in montaža kanala okroglega preseka iz pocinkane jeklene pločevine za vtočni in odtočni zrak zidne prezračevalne naprave Lunos e2. Debeline po DIN 24190 in DIN 24191:1998-12, vključno spojni, tesnilni in pritrdilni material ter kolena. Za porebe podaljšanja preboja prezračevanja sobe lutk. Vključno z obešačnim materialom.</t>
  </si>
  <si>
    <t>PV-1/160</t>
  </si>
  <si>
    <t>PV-1/125</t>
  </si>
  <si>
    <t>PV-2/125</t>
  </si>
  <si>
    <t>JR-3/2-F 525x225</t>
  </si>
  <si>
    <t>JR-3/2-F 425x225</t>
  </si>
  <si>
    <t>250/400</t>
  </si>
  <si>
    <t>250/600</t>
  </si>
  <si>
    <t>DZ-2/P/V/100/5 750x350x1000 dP30 Pa</t>
  </si>
  <si>
    <t>DZ-2/P/V/100/5 750x250x1000 dP30 Pa</t>
  </si>
  <si>
    <t>STROJNE INSTALACIJE</t>
  </si>
  <si>
    <t>VODOVOD -zamenjava cevnega sistema in umivalniških armatur</t>
  </si>
  <si>
    <t>Demontaža obstoječe sanitarne opreme (armature, cevi, ventile …) in le teh odvoz na bližnjo deponijo</t>
  </si>
  <si>
    <t>Armatura za umivalnik tip 58-710-100</t>
  </si>
  <si>
    <t>Dobava in montaža navojnega krogličnega ventila, vključno spojni in tesnilni material</t>
  </si>
  <si>
    <t>Dobava in montaža cevi sistem Radopress za toplo sanitarno vodo, z vsemi fazonskimi kosi in ostalim potrebnim materialom za montažo, vključno Armacell izolacija tip ITS debeline najmanj Dn (notranji premer) cevi, a ne manjše od 6mm</t>
  </si>
  <si>
    <t>D 32x3,0 mm</t>
  </si>
  <si>
    <t>D 26x3,0 mm</t>
  </si>
  <si>
    <t>D 20x2,0 mm</t>
  </si>
  <si>
    <t>D 16x2,0 mm</t>
  </si>
  <si>
    <t>Dobava in montaža demontažnega priključka sistem Radopress</t>
  </si>
  <si>
    <t>RP-VK26</t>
  </si>
  <si>
    <t>RP-VK20</t>
  </si>
  <si>
    <t>Dobava in montaža reducirnega prehodnega kosa sistem Radopress</t>
  </si>
  <si>
    <t>RP-R32/26</t>
  </si>
  <si>
    <t>RP-R26/20</t>
  </si>
  <si>
    <t xml:space="preserve">Dobava in montaža podometnega ventila </t>
  </si>
  <si>
    <t>Dobava in montaža enojnega armaturnega priključka sistema Radopress</t>
  </si>
  <si>
    <t>20-1/2''</t>
  </si>
  <si>
    <t>Dolbenje za instalacijo vodovoda  – preboji</t>
  </si>
  <si>
    <t>Priklop na obstoječo kanalizacijo in vodovod</t>
  </si>
  <si>
    <t>Razna nepredvidena dela po dejanskih stroških se vpiše v gradbeno knjigo in potrdi nadzorni organ - ocena.</t>
  </si>
  <si>
    <t>Izpiranje in polnjenje sistema, tlačni preizkus</t>
  </si>
  <si>
    <t>Klorni šok vodovodne instalacije in pridobitev pozitivnega izvida o neoporečnosti sanitarne vode</t>
  </si>
  <si>
    <t>∑</t>
  </si>
  <si>
    <t>Pripravljalna dela, splošni in transportni stroški, stroški zavarovanja, izdelava navodil za obratovanje, predaja gradbene dokum. po 91. členu ZGO-1-UPB1 ter garancije za opremo in izvedbo ter zaključna dela</t>
  </si>
  <si>
    <t>Oprema opisana v popisu se lahko zamenja z opremo drugega proizvajalca, vendar mora imeti enake ali boljše karakteristike.</t>
  </si>
  <si>
    <t>PRIPRAVA TOPLE SANITARNE VODE</t>
  </si>
  <si>
    <t>Toplotna črpalka tip TČ 2RT-321 AVT</t>
  </si>
  <si>
    <t>Raztezna posoda Eder SAN 30D</t>
  </si>
  <si>
    <t>Dobava in montaža navojnega krogličnega ventila (hladna voda), vključno s tesnilnim materialom</t>
  </si>
  <si>
    <t>Dobava in montaža protipovratnega ventila (hladna voda), vključno s tesnilnim materialom</t>
  </si>
  <si>
    <r>
      <t>V= 0,10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/h, </t>
    </r>
    <r>
      <rPr>
        <sz val="10"/>
        <rFont val="Calibri"/>
        <family val="2"/>
      </rPr>
      <t>Δ</t>
    </r>
    <r>
      <rPr>
        <sz val="10"/>
        <rFont val="Arial"/>
        <family val="2"/>
      </rPr>
      <t>p= 10 kPa</t>
    </r>
  </si>
  <si>
    <t>El.pod.:  Ne = 25 W, 230 V, 50 Hz</t>
  </si>
  <si>
    <t>tip UP 15-14 BUT</t>
  </si>
  <si>
    <t>Dobava in montaža protipovratne ventila vključno tesnilni material</t>
  </si>
  <si>
    <t>Dobava in montaža navojnega krogličnega ventila, vključno z vsem tesnilnim materialom</t>
  </si>
  <si>
    <t>Dobava in montaža izpustne pipice, vključno s tesnilnim materialom</t>
  </si>
  <si>
    <t>Priklop na obstoječo instalacijo hladne vode, vključno ves potrebni montažni material</t>
  </si>
  <si>
    <t>Izpiranje instalacije, polnjenje instalacije z ustrezno pripravljeno vodo, tlačni preizkus in kontrola tesnosti ter poskusni zagon ob prisotnosti pooblaščenega serviserja</t>
  </si>
  <si>
    <t xml:space="preserve">Izdelava shem in navodil za uporabo </t>
  </si>
  <si>
    <t>Pripravljalna dela, splošni in transportni stroški, zavarovalni stroški, izdelava navodil za obratovanje, predaja gradbene dokum. po 91. členu ZGO-1-UPB1 ter garancije za opremo in izvedbo ter zaključna dela</t>
  </si>
  <si>
    <t>REKAPITULACIJA</t>
  </si>
  <si>
    <t>Znesek v €</t>
  </si>
  <si>
    <t>3.1</t>
  </si>
  <si>
    <t>3.2</t>
  </si>
  <si>
    <t>3.3</t>
  </si>
  <si>
    <t>SKUPAJ (brez DDV)</t>
  </si>
  <si>
    <t>DDV (20 %)</t>
  </si>
  <si>
    <t>SKUPAJ (Z DDV)</t>
  </si>
  <si>
    <t>IZVEDBA GOI DEL ZA PROJEKT ENERGETSKA SANACIJA 
ŠOLSKEGA CENTRA RAVNE NA KOROŠKEM, FAZA I</t>
  </si>
  <si>
    <t>Popisi del so zaklenjeni.
Ponudniki vnašajo ponudbene cene na enoto v obarvana polja. Vnašajo se cene brez DDV.</t>
  </si>
  <si>
    <t>3.4</t>
  </si>
  <si>
    <t>VODOVOD</t>
  </si>
  <si>
    <r>
      <t>Dobava in montaža prezračevalne naprave. Proizvod kot npr.: Helios tip: KWL EC 500 Pro L, Vdo=430m</t>
    </r>
    <r>
      <rPr>
        <sz val="10"/>
        <rFont val="Arial"/>
        <family val="2"/>
      </rPr>
      <t>³</t>
    </r>
    <r>
      <rPr>
        <sz val="10"/>
        <rFont val="Arial CE"/>
        <family val="2"/>
      </rPr>
      <t>/h. 200Pa. Vod=450m³/h. 200Pa. El.pod.: 3x400V 50Hz 2x143W 1,8A. Z toplotnim izmenjevalcem 90% izkoristka odpadne toplote. Poletnim avtomatskim bypass sistemom Dim. naprave: DxVxŠ: 702x704x492mm. Z  Co2 senzorjem nameščenim na željo stranke. Tip: KWL-KDF nar.št.: 9413. Naprava nameščena na tleh toplotne postaje. Z odvodom kondenzacije fi22 PP30 na bližnji kanalizacijski odtok. Z električnim grelnim registrom z nastavijo željene temp. na komandni plošči tip: n.št.:9417 Qgr= 4,4kW. Dobaviti z nadometno komandno ploščo ki vključuje digitalno tedensko uro za nastavitev obratovanja. Komplet z vsem potrebnim pritrdilnim in tesnilnim, kablirnim materialom na omrežje ter zagonom. Teža 75kg. Montaža na MFD protihrupni podstevek Za potrebe fitnes sobe.</t>
    </r>
  </si>
  <si>
    <t>Manjša gradbena dela; dolbenje lukenj za montažo prezračevalnih kanalov in podobno.</t>
  </si>
  <si>
    <t>Ogrevanje - Termostatski radiatorski ventili</t>
  </si>
  <si>
    <t>Izpraznitev ogrevalnega sistema do nivoja, da nam ta zagotavlja neovirano demontažo radiatorjev ter ponovno montažo istih</t>
  </si>
  <si>
    <t>Demontaža radiatorjev, odstranitev navadnih radiatorskih ventilov. Priprava oz. servisiranje  radiatorjev za ponovno montažo, kot event. zamenjava priključkov, tesnil ...  vključno z izpiranjem ter priprava za ponovno montaža na staro lokacijo</t>
  </si>
  <si>
    <t xml:space="preserve">Opomba:                                             </t>
  </si>
  <si>
    <t>Pred demontažo radiatorjev preveriti dimenzije radiatorskih ventilov</t>
  </si>
  <si>
    <t>Radiatorski termostatski ventil R</t>
  </si>
  <si>
    <t xml:space="preserve">Opomba: </t>
  </si>
  <si>
    <t>Radiatorski zaključek R</t>
  </si>
  <si>
    <t>Izpiranje in polnenje sistema z ustrezno pripravljeno vodo, tlačni preizkus in odzračevanje.</t>
  </si>
  <si>
    <t>3.5</t>
  </si>
  <si>
    <t>TERMOSTATSKI VENTILI</t>
  </si>
  <si>
    <t xml:space="preserve">PREZRAČEVANJE </t>
  </si>
  <si>
    <r>
      <t>Dobava in montaža zidne prezračevalne naprave. Proizvod kot npr.: Lunos tip: e2 št. naročila: 039846, Vdo=38m</t>
    </r>
    <r>
      <rPr>
        <sz val="10"/>
        <rFont val="Arial"/>
        <family val="2"/>
      </rPr>
      <t>³</t>
    </r>
    <r>
      <rPr>
        <sz val="10"/>
        <rFont val="Arial CE"/>
        <family val="2"/>
      </rPr>
      <t>/h. Vod=38m³/h. El.pod.: 12V 50Hz 3,3W 0,06A. Z toplotnim izmenjevalcem nad 90% izkoristka odpadne toplote.Dim. naprave: VxŠ: 180x180mm dolžina se prilagodi na debelino izdu. Dobaviti z nadometno komandno ploščo, ki vključuje digitalno tedensko uro za nastavitev obratovanja. Komplet z vsem potrebnim pritrdilnim in tesnilnim, kablirnim materialom na omrežje ter zagonom. Teža cca.8kg. Za potrebe - soba lutke. Vključno z 1x CO2 senzor kot npr. tip: KWL-CO2 z vezavo na delovanje naprave.</t>
    </r>
  </si>
  <si>
    <t>21.</t>
  </si>
  <si>
    <t>22.</t>
  </si>
  <si>
    <t>23.</t>
  </si>
  <si>
    <t>24.</t>
  </si>
  <si>
    <t>25.</t>
  </si>
  <si>
    <r>
      <rPr>
        <b/>
        <sz val="10"/>
        <rFont val="Arial CE"/>
        <family val="0"/>
      </rPr>
      <t>Opomba:</t>
    </r>
    <r>
      <rPr>
        <sz val="10"/>
        <rFont val="Arial CE"/>
        <family val="2"/>
      </rPr>
      <t xml:space="preserve"> Oprema opisana v popisu se lahko zamenja z opremo drugega proizvajalca, s predhodnim soglasjem projektanta projekta. Vendar mora imeti enake ali boljše karakteristike. </t>
    </r>
  </si>
  <si>
    <r>
      <t>Dobava in montaža stropne prezračevalne naprave. Proizvod kot npr.: Helios tip: KWL EC 2000 D Pro WW, Vdo=1800-2000m</t>
    </r>
    <r>
      <rPr>
        <sz val="10"/>
        <rFont val="Arial"/>
        <family val="2"/>
      </rPr>
      <t>³</t>
    </r>
    <r>
      <rPr>
        <sz val="10"/>
        <rFont val="Arial CE"/>
        <family val="2"/>
      </rPr>
      <t>/h. 140Pa. Vod=1800-2000m³/h. 150Pa. El.pod.: 3x400V 50Hz 2x500W 6,2A, ali enakovredno. S toplotnim izmenjevalcem 90% izkoristka odpadne toplote, higienskemu standardu VDI 6022. Poletnim avtomatskim bypass sistemom Dim. naprave: DxVxŠ: 2018x490x1717. Nameščenim pod stropom etaže. Z odvodom kondenzacije fi22 PP30 na bližnji kanalizacijski odtok. Dobaviti z nadometno komandno ploščo z zaslonom na dotik z lokacijo po želji stranke. Komplet z vsem potrebnim pritrdilnim in tesnilnim, kablirnim materialom na omrežje ter zagonom. Montaža pod strop z antivibracijskimi obešali. Teža 270 kg. Za potrebe učilnic.</t>
    </r>
  </si>
  <si>
    <r>
      <t>Dobava in montaža stropne prezračevalne naprave. Proizvod kot npr.: Helios tip: KWL EC 220 D Pro, Vdo=235m</t>
    </r>
    <r>
      <rPr>
        <sz val="10"/>
        <rFont val="Arial"/>
        <family val="2"/>
      </rPr>
      <t>³</t>
    </r>
    <r>
      <rPr>
        <sz val="10"/>
        <rFont val="Arial CE"/>
        <family val="2"/>
      </rPr>
      <t>/h. 150Pa. Vod=235m³/h. 150Pa. El.pod.: 3x400V 50Hz 2x52W 6,2A ali enakovredno. S toplotnim izmenjevalcem 90% izkoristka odpadne toplote, higienskemu standardu VDI 6022. Poletnim avtomatskim bypass sistemom Dim. naprave: DxVxŠ: 1140x236x548. Nameščenim pod stropom etaže. Z odvodom kondenzacije fi22 PP30 na bližnji kanalizacijski odtok. Z električnim grelnim registrom z nastavijo željene temp. na komandni plošči tip: n.št.:4176 Qgr= 1,0kW. Dobaviti z nadometno komandno ploščo z zaslonom na dotik. Komplet z vsem potrebnim pritrdilnim in tesnilnim, kablirnim materialom na omrežje ter zagonom. Montaža pod strop z antivibracijskimi obešali. Teža 6 5kg. Za potrebe administracije.</t>
    </r>
  </si>
  <si>
    <t>Dobava in montaža sistemske rekuperativne 
prezračevalne naprave. Proizv. kot npr.: Lunos e2 38 m3/h z min 90% rekuperacijo toplote odpadnega zraka. Vdo/od=38m³/h. El. pod:230V 0,09A/50Hz 3,3W ali enakovredno. Z regulatorjem krmiljenja 5/SE 3x in tipalom kvalitete zraka 3x. Dim: Ø160 x 500 mm. Montaža v steno. Glasnost  19dB(A). Komplet s pritrdilnim in tesnilnim materialom ter kabliranjem in zagonom. Teža cca. 4,0 kg. Za potrebe knjižnice 5 kosov. Za potrebe kino sobe 3 kose. Za potrebe zbornice 4 kosi.</t>
  </si>
  <si>
    <r>
      <t xml:space="preserve">Dobava in montaža krožnikasti – prezračevalni ventil za potrebe dovoda/dovoda zraka. Vgradnja v kanalsko mrežo. </t>
    </r>
    <r>
      <rPr>
        <sz val="10"/>
        <rFont val="Arial CE"/>
        <family val="0"/>
      </rPr>
      <t>Kot npr.: Hidria ali enakovredno.</t>
    </r>
    <r>
      <rPr>
        <sz val="10"/>
        <rFont val="Arial CE"/>
        <family val="2"/>
      </rPr>
      <t xml:space="preserve"> Komplet z pritrdilnim in tesnilnim materialom ter odcepnim razvodom.</t>
    </r>
  </si>
  <si>
    <r>
      <t xml:space="preserve">Dobava in montaža vratne rešetke AR-4P za vgradnjo v vrata sanitarnega dela, </t>
    </r>
    <r>
      <rPr>
        <sz val="10"/>
        <rFont val="Arial CE"/>
        <family val="0"/>
      </rPr>
      <t>kot npr.: Hidria ali enakovredno.</t>
    </r>
  </si>
  <si>
    <r>
      <t>Dobava in montaža prezračevalne rešetke za potrebe dovoda in odvoda zraka. Vgradnja v  kanalsko omrežje.</t>
    </r>
    <r>
      <rPr>
        <sz val="10"/>
        <rFont val="Arial CE"/>
        <family val="0"/>
      </rPr>
      <t xml:space="preserve"> Kot npr.: Hidria ali enakovredno.</t>
    </r>
    <r>
      <rPr>
        <sz val="10"/>
        <rFont val="Arial CE"/>
        <family val="2"/>
      </rPr>
      <t xml:space="preserve"> Komplet s pritrdilnim in tesnilnim materialom.</t>
    </r>
  </si>
  <si>
    <t xml:space="preserve">Dobava in motaža dušilnika hrupa v pravokotno  kanalsko meržo. Z dušilno kuliso, vodiloma za vstop in izstop zraka in perforirano pločevino. Komplet z pritrdilnim in tesnilnim materialom. Proizvod kot npr. Hidria ali enakovredno. </t>
  </si>
  <si>
    <t>Dobava in montaža zidne rešetke za zajem/izpuh zraka. Tip kot npr.: Hidria JZR-5 ali enakovredno. Komplet s pritrdilnim in tesnilnim materialom ter protimrčesno mrežo. Z  predpripravo zidu in tesnenjem elementa. V RAL barvi po želji investitorja. Dimenzije:</t>
  </si>
  <si>
    <t xml:space="preserve">Dobava in montaža kanala iz pocinkane jeklene pločevine za vtočni in odtočni zrak, debeline po  DIN 24190 in DIN 24191:1998-12, vključno spojni, tesnilni in pritrdilni material ter dodatek na odrez za nazivne velikost daljše stranice. Vključno z usmerjevalci v prezračevalnih kolenih in priključkov na prezračevalno napravo. Ter vezava na odstoječe prezračevalne razvode, itd ... </t>
  </si>
  <si>
    <t>Dobava in montaža prezračevalnega razvoda za potrebe administracije. Tip: RenoPipe System kot npr. proiz.: Helios ali enkaovredno. Komplet s pritrdilnim in tesnilnim materialom ter gradbenimi deli (diamantno vrtanje prebojev za dovod/odvod zraka ter ustrezno tesnenje). Vključno s prehodnimi kosi na končne distributivne elemente.</t>
  </si>
  <si>
    <t>Dobava in montaža spiro cevnega kanalskega razvoda za potrebe sesanja administrativnega dela objekta. Cevi premera 125 mm vključno z montažo odsesovalnih ventilov, podkonstrukcijo in mavčno finalono oblogo.</t>
  </si>
  <si>
    <t>Izolacija vseh kanalov, ki niso izolirani pri prehodu skozi gradbeno konstrukcijo zaradi preprečevanja prenosa hrupa AC 9 mm</t>
  </si>
  <si>
    <t>Dobava in montaža regulacijske žaluzije za regulacijo količine pretoka zraka na  ročno nastavitev, vključno z montažo v prezračevalni kanal. Kot npt: Hidria RŽ-1B/3/R ali enakovredno:</t>
  </si>
  <si>
    <t>Dobava in montaža stoječe enoročne mešalne baterije tip 58-710-100 kot npr. proizvod Hidra Armal ali enakovredno  za umivalnik s sifonom z zveznima cevkama in s kotnima ventiloma vključno s pritrdilnim, tesnilnim in montažnim materialom</t>
  </si>
  <si>
    <t xml:space="preserve">Dobava in montaža visoko zmogljive toplotne črpalke zrak/voda z vgrajenim bojlerjem V= 300 l, proizv. npr. Termotehnika, notranja postavitev tip TČ 2RT-321 AVT  za segrevanje  sanitarne vode, visokotemperaturne do 65ºC,  z vgrajeno krmilno-regulacijska enoto OPTITRONIC (antilegionelna zaščita)  z možnostjo ''AVTO DETEKT''  Qgr./Pel  (1,96/0,56) kW  ali enakovredno; COP = 3,8 vključno z električnim povezovalnim kablom in cevjo za odvod kondenza tem montažnim materialom </t>
  </si>
  <si>
    <t>Dobava in montaža raztezne posode za hladno vodo s konstantnim tlakom  kot npr. Eder SAN 30D ali enkaovredno, V=30L z varnostnim ventilom DN 15, p=6 bar vključno s tesnilnim in montažnim materialom</t>
  </si>
  <si>
    <t>Dobava in montaža cirkulacijske črpalke za sanitarno vodo kot npr. proizvod Grundfos tip UP 15-14 BUT  ali enakovredno,  vključno spojni in tesnilni material
električni podatki:</t>
  </si>
  <si>
    <t>Elektroinstalacijska dela, priklop črpalk  in  avtomatike  vključno s poizkusnim zagonom</t>
  </si>
  <si>
    <t xml:space="preserve">Dobava in montaža radiatorskega termostatskega  ventila  R1/2'' (oz. dimenzija kot obstoječe stanje  ventila), npr. vse kot proizvod Herz ali enkovredno, vključno s spojkami in tesnilnim materialom                            </t>
  </si>
  <si>
    <t xml:space="preserve">Dobava in montaža radiatorskega zaključka MS, ravne izvedbe (oz. kotne, če to zahteva obstoječe stanje), navojni priključek R 1/2'' (oz. ventil dimenzije obstoječe stanje) vključno s spojkami in tesnilnim materialom - kot npr. proizvod Herz  ali enakovredno                                                                </t>
  </si>
  <si>
    <t>Dobava in montaža termostatske glave (TS) na zaklep (za javne objekte) npr. kot npr. proizvod Herz  ali enakovredno</t>
  </si>
  <si>
    <t>AAAAAH3X44M=</t>
  </si>
  <si>
    <t>AAAAAH3X44Q=</t>
  </si>
  <si>
    <t>AAAAAH3X44U=</t>
  </si>
  <si>
    <t>AAAAAH3X44Y=</t>
  </si>
  <si>
    <t>SKUPAJ BREZ DDV</t>
  </si>
  <si>
    <t>SKUPAJ PREZRAČEVANJE</t>
  </si>
  <si>
    <t>SKUPAJ VODOVOD- zamenjava cevnega sistema in umivalniških armatur</t>
  </si>
  <si>
    <t>SKUPAJ PRIPRAVA TOPLE SANITARNE VODE</t>
  </si>
  <si>
    <t>SKUPAJ OGREVANJE - TERMOSTATSKI RADIATORSKI VENTILI</t>
  </si>
  <si>
    <t>PIID                                                                                            1%</t>
  </si>
  <si>
    <t>projektantski nadzor                                                                2%</t>
  </si>
  <si>
    <t>IZJAVA</t>
  </si>
  <si>
    <t>Izjavljamo, da je ponujena enakovredna oprema, in sicer ponujamo:</t>
  </si>
  <si>
    <t>1.</t>
  </si>
  <si>
    <t>(predlagan tip opreme),</t>
  </si>
  <si>
    <t>ki je enakovreden ________________________________________</t>
  </si>
  <si>
    <t>(navedite opremo in postavko iz popisa).</t>
  </si>
  <si>
    <t>2.</t>
  </si>
  <si>
    <t>3.</t>
  </si>
  <si>
    <t>4.</t>
  </si>
  <si>
    <t>(po potrebi razširi/skopiraj/dodaj)</t>
  </si>
  <si>
    <t>*Priloga posameznim postavkam mora biti tehnični list ponujene opreme, kjer so navedeni ključne tehnične specifikacije. Naročnik lahko v nadaljevanju zahteva dodatne obrazložitve in dokazila o ustreznosti (certifikati, izjave o skladnosti …)</t>
  </si>
  <si>
    <t>Ponudnik:</t>
  </si>
  <si>
    <t>Žig in podpis ponudnika:</t>
  </si>
  <si>
    <t xml:space="preserve">Datum: </t>
  </si>
  <si>
    <t xml:space="preserve"> </t>
  </si>
  <si>
    <t>POPIS MATERIALA IN DEL ZA ELEKTRO NAPELJAVE –           Gimnazija Ravne na Koroškem</t>
  </si>
  <si>
    <t>1. Instalacije</t>
  </si>
  <si>
    <t>Dobava, polaganje in označevanje instalacijskega materiala:</t>
  </si>
  <si>
    <t>Z.št</t>
  </si>
  <si>
    <t>tip, proizvod</t>
  </si>
  <si>
    <t>nadometni instalacijski kanal bele barve, dimenzij 15x17mm, komplet s pripadajočim montažnim materialom</t>
  </si>
  <si>
    <t>npr: NIK 1</t>
  </si>
  <si>
    <t>nadometni instalacijski kanal bele barve, dimenzij 30x17mm, komplet s pripadajočim montažnim materialom</t>
  </si>
  <si>
    <t>npr: NIK 2</t>
  </si>
  <si>
    <t>nadometni instalacijski kanal bele barve, dimenzij 40x25mm, komplet s pripadajočim montažnim materialom</t>
  </si>
  <si>
    <t>npr: NIK 5</t>
  </si>
  <si>
    <t>energetski kabel</t>
  </si>
  <si>
    <t>NYM-J 3x1,5 mm2</t>
  </si>
  <si>
    <t>NYM-J 5x1,5 mm2</t>
  </si>
  <si>
    <t>meritev instalacije ter izdaja certifikata</t>
  </si>
  <si>
    <t>kom.</t>
  </si>
  <si>
    <t>SKUPAJ</t>
  </si>
  <si>
    <t>2. Stikalni bloki</t>
  </si>
  <si>
    <t>Dobava, montaža, vezava in označevanje opreme, ki se vgradi v stikalni blok:</t>
  </si>
  <si>
    <t>Z.št.</t>
  </si>
  <si>
    <t>R-G (obstoječi)</t>
  </si>
  <si>
    <t>dograditev enopolnega instalacijskega odklopnika, primernega za montažo na letev razdelilca</t>
  </si>
  <si>
    <t>C10A/10kA</t>
  </si>
  <si>
    <t>drobni material, meritve, certifikat (sponke, vodniki, …), označevanje in preizkus</t>
  </si>
  <si>
    <t>R-K1 (obstoječi)</t>
  </si>
  <si>
    <t>C10A/6kA</t>
  </si>
  <si>
    <t>dograditev tripolnega instalacijskega odklopnika, primernega za montažo na letev razdelilca</t>
  </si>
  <si>
    <t>R-P1 (obstoječi)</t>
  </si>
  <si>
    <t>R-P2 (obstoječi)</t>
  </si>
  <si>
    <t>RN1-1 (obstoječi)</t>
  </si>
  <si>
    <t>RN1-2 (obstoječi)</t>
  </si>
  <si>
    <t>RN2-1 (obstoječi)</t>
  </si>
  <si>
    <t>RN2-2 (obstoječi)</t>
  </si>
  <si>
    <t>RM (obstoječi)</t>
  </si>
  <si>
    <t>R-K (obstoječi)</t>
  </si>
  <si>
    <t>3. Ostalo</t>
  </si>
  <si>
    <t>ožičenje in priklop enofaznega porabnika (prezračevalna naprava, toplotna črpalka)</t>
  </si>
  <si>
    <t>ožičenje in priklop trifaznega porabnika (prezračevalna naprava)</t>
  </si>
  <si>
    <t>priprava tehnične dokumentacije (izjava o zanesljivosti objekta,  priprava merilnih protokolov, certifikati vgrajene opreme,.. projekt izvedenih del - PID)</t>
  </si>
  <si>
    <t>kompl</t>
  </si>
  <si>
    <t xml:space="preserve"> VREDNOST DEL </t>
  </si>
  <si>
    <t xml:space="preserve"> vrednost materiala in del po popisu </t>
  </si>
  <si>
    <t xml:space="preserve"> nepredvidena dela 10%</t>
  </si>
  <si>
    <t xml:space="preserve"> SKUPAJ </t>
  </si>
  <si>
    <t>ELEKTRO NAPELJAVE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</si>
</sst>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DM&quot;_-;\-* #,##0.00\ &quot;DM&quot;_-;_-* &quot;-&quot;??\ &quot;DM&quot;_-;_-@_-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\ &quot;SIT&quot;_-;\-* #,##0.00\ &quot;SIT&quot;_-;_-* &quot;-&quot;??\ &quot;SIT&quot;_-;_-@_-"/>
    <numFmt numFmtId="169" formatCode="#,##0.00\ [$EUR]"/>
  </numFmts>
  <fonts count="6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sz val="8"/>
      <name val="Arial"/>
      <family val="2"/>
    </font>
    <font>
      <sz val="8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name val="Arial"/>
      <family val="2"/>
    </font>
    <font>
      <sz val="10"/>
      <name val="Calibri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i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2"/>
    </font>
    <font>
      <sz val="10"/>
      <color indexed="60"/>
      <name val="Arial CE"/>
      <family val="2"/>
    </font>
    <font>
      <sz val="10"/>
      <color indexed="60"/>
      <name val="Arial"/>
      <family val="2"/>
    </font>
    <font>
      <b/>
      <sz val="10"/>
      <color indexed="6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CE"/>
      <family val="2"/>
    </font>
    <font>
      <sz val="10"/>
      <color rgb="FFC00000"/>
      <name val="Arial CE"/>
      <family val="2"/>
    </font>
    <font>
      <sz val="11"/>
      <color theme="1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7" fontId="2" fillId="0" borderId="0" applyFont="0" applyFill="0" applyBorder="0" applyAlignment="0" applyProtection="0"/>
    <xf numFmtId="0" fontId="48" fillId="2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5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6" fillId="0" borderId="6" applyNumberFormat="0" applyFill="0" applyAlignment="0" applyProtection="0"/>
    <xf numFmtId="0" fontId="57" fillId="30" borderId="7" applyNumberFormat="0" applyAlignment="0" applyProtection="0"/>
    <xf numFmtId="0" fontId="58" fillId="21" borderId="8" applyNumberFormat="0" applyAlignment="0" applyProtection="0"/>
    <xf numFmtId="0" fontId="5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8" applyNumberFormat="0" applyAlignment="0" applyProtection="0"/>
    <xf numFmtId="0" fontId="61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0" fillId="0" borderId="0" xfId="51" applyFont="1" applyProtection="1">
      <alignment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justify" vertical="top" readingOrder="1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justify" vertical="top" readingOrder="1"/>
      <protection/>
    </xf>
    <xf numFmtId="0" fontId="0" fillId="0" borderId="10" xfId="0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/>
      <protection/>
    </xf>
    <xf numFmtId="0" fontId="0" fillId="0" borderId="0" xfId="51" applyFont="1" applyFill="1" applyProtection="1">
      <alignment/>
      <protection/>
    </xf>
    <xf numFmtId="0" fontId="6" fillId="0" borderId="0" xfId="51" applyFont="1" applyFill="1" applyProtection="1">
      <alignment/>
      <protection/>
    </xf>
    <xf numFmtId="49" fontId="8" fillId="0" borderId="12" xfId="51" applyNumberFormat="1" applyFont="1" applyFill="1" applyBorder="1" applyAlignment="1" applyProtection="1">
      <alignment horizontal="center" vertical="top"/>
      <protection/>
    </xf>
    <xf numFmtId="0" fontId="7" fillId="0" borderId="12" xfId="51" applyFont="1" applyFill="1" applyBorder="1" applyAlignment="1" applyProtection="1">
      <alignment horizontal="center"/>
      <protection/>
    </xf>
    <xf numFmtId="4" fontId="7" fillId="0" borderId="0" xfId="51" applyNumberFormat="1" applyFont="1" applyFill="1" applyBorder="1" applyProtection="1">
      <alignment/>
      <protection/>
    </xf>
    <xf numFmtId="49" fontId="9" fillId="0" borderId="10" xfId="51" applyNumberFormat="1" applyFont="1" applyFill="1" applyBorder="1" applyAlignment="1" applyProtection="1">
      <alignment vertical="center" readingOrder="1"/>
      <protection/>
    </xf>
    <xf numFmtId="0" fontId="9" fillId="0" borderId="0" xfId="51" applyFont="1" applyFill="1" applyBorder="1" applyAlignment="1" applyProtection="1">
      <alignment vertical="center" readingOrder="1"/>
      <protection/>
    </xf>
    <xf numFmtId="0" fontId="4" fillId="0" borderId="10" xfId="51" applyFont="1" applyFill="1" applyBorder="1" applyAlignment="1" applyProtection="1">
      <alignment vertical="center" readingOrder="1"/>
      <protection/>
    </xf>
    <xf numFmtId="4" fontId="4" fillId="0" borderId="0" xfId="51" applyNumberFormat="1" applyFont="1" applyFill="1" applyBorder="1" applyAlignment="1" applyProtection="1">
      <alignment vertical="center" readingOrder="1"/>
      <protection/>
    </xf>
    <xf numFmtId="0" fontId="5" fillId="0" borderId="0" xfId="51" applyFont="1" applyAlignment="1" applyProtection="1">
      <alignment horizontal="justify" vertical="top" readingOrder="1"/>
      <protection/>
    </xf>
    <xf numFmtId="0" fontId="6" fillId="0" borderId="0" xfId="51" applyFont="1" applyAlignment="1" applyProtection="1">
      <alignment horizontal="center"/>
      <protection/>
    </xf>
    <xf numFmtId="0" fontId="6" fillId="0" borderId="0" xfId="51" applyFont="1" applyProtection="1">
      <alignment/>
      <protection/>
    </xf>
    <xf numFmtId="0" fontId="3" fillId="0" borderId="13" xfId="51" applyFont="1" applyBorder="1" applyAlignment="1" applyProtection="1">
      <alignment horizontal="center" vertical="top" readingOrder="1"/>
      <protection/>
    </xf>
    <xf numFmtId="0" fontId="3" fillId="0" borderId="13" xfId="51" applyFont="1" applyBorder="1" applyAlignment="1" applyProtection="1">
      <alignment horizontal="center" vertical="top"/>
      <protection/>
    </xf>
    <xf numFmtId="4" fontId="3" fillId="0" borderId="13" xfId="51" applyNumberFormat="1" applyFont="1" applyBorder="1" applyAlignment="1" applyProtection="1">
      <alignment horizontal="center" vertical="top"/>
      <protection/>
    </xf>
    <xf numFmtId="0" fontId="5" fillId="0" borderId="14" xfId="51" applyFont="1" applyBorder="1" applyAlignment="1" applyProtection="1">
      <alignment horizontal="justify" vertical="top" readingOrder="1"/>
      <protection/>
    </xf>
    <xf numFmtId="0" fontId="6" fillId="0" borderId="14" xfId="51" applyFont="1" applyBorder="1" applyAlignment="1" applyProtection="1">
      <alignment horizontal="center"/>
      <protection/>
    </xf>
    <xf numFmtId="0" fontId="6" fillId="0" borderId="14" xfId="51" applyFont="1" applyBorder="1" applyProtection="1">
      <alignment/>
      <protection/>
    </xf>
    <xf numFmtId="0" fontId="7" fillId="0" borderId="12" xfId="51" applyFont="1" applyBorder="1" applyAlignment="1" applyProtection="1">
      <alignment horizontal="center"/>
      <protection/>
    </xf>
    <xf numFmtId="0" fontId="9" fillId="0" borderId="0" xfId="51" applyFont="1" applyBorder="1" applyAlignment="1" applyProtection="1">
      <alignment vertical="center" readingOrder="1"/>
      <protection/>
    </xf>
    <xf numFmtId="0" fontId="4" fillId="0" borderId="10" xfId="51" applyFont="1" applyBorder="1" applyAlignment="1" applyProtection="1">
      <alignment vertical="center" readingOrder="1"/>
      <protection/>
    </xf>
    <xf numFmtId="4" fontId="4" fillId="0" borderId="0" xfId="51" applyNumberFormat="1" applyFont="1" applyBorder="1" applyAlignment="1" applyProtection="1">
      <alignment vertical="center" readingOrder="1"/>
      <protection/>
    </xf>
    <xf numFmtId="0" fontId="4" fillId="0" borderId="15" xfId="51" applyFont="1" applyBorder="1" applyAlignment="1" applyProtection="1">
      <alignment vertical="center" readingOrder="1"/>
      <protection/>
    </xf>
    <xf numFmtId="4" fontId="4" fillId="0" borderId="16" xfId="51" applyNumberFormat="1" applyFont="1" applyBorder="1" applyAlignment="1" applyProtection="1">
      <alignment vertical="center" readingOrder="1"/>
      <protection/>
    </xf>
    <xf numFmtId="0" fontId="62" fillId="0" borderId="0" xfId="0" applyFont="1" applyFill="1" applyBorder="1" applyAlignment="1" applyProtection="1">
      <alignment horizontal="justify" vertical="top" readingOrder="1"/>
      <protection/>
    </xf>
    <xf numFmtId="0" fontId="0" fillId="0" borderId="0" xfId="0" applyFill="1" applyBorder="1" applyAlignment="1" applyProtection="1">
      <alignment vertical="center" wrapText="1" readingOrder="1"/>
      <protection/>
    </xf>
    <xf numFmtId="0" fontId="0" fillId="0" borderId="10" xfId="0" applyBorder="1" applyAlignment="1" applyProtection="1">
      <alignment horizontal="center" readingOrder="1"/>
      <protection/>
    </xf>
    <xf numFmtId="49" fontId="5" fillId="0" borderId="0" xfId="51" applyNumberFormat="1" applyFont="1" applyAlignment="1" applyProtection="1">
      <alignment horizontal="left" vertical="top"/>
      <protection/>
    </xf>
    <xf numFmtId="49" fontId="3" fillId="0" borderId="13" xfId="51" applyNumberFormat="1" applyFont="1" applyBorder="1" applyAlignment="1" applyProtection="1">
      <alignment horizontal="center" vertical="top" wrapText="1"/>
      <protection/>
    </xf>
    <xf numFmtId="49" fontId="5" fillId="0" borderId="14" xfId="51" applyNumberFormat="1" applyFont="1" applyBorder="1" applyAlignment="1" applyProtection="1">
      <alignment horizontal="center" vertical="top"/>
      <protection/>
    </xf>
    <xf numFmtId="0" fontId="0" fillId="0" borderId="0" xfId="51" applyFont="1" applyAlignment="1" applyProtection="1">
      <alignment horizontal="right"/>
      <protection/>
    </xf>
    <xf numFmtId="0" fontId="17" fillId="0" borderId="10" xfId="0" applyFont="1" applyFill="1" applyBorder="1" applyAlignment="1" applyProtection="1">
      <alignment vertical="center" readingOrder="1"/>
      <protection/>
    </xf>
    <xf numFmtId="4" fontId="17" fillId="0" borderId="0" xfId="0" applyNumberFormat="1" applyFont="1" applyFill="1" applyBorder="1" applyAlignment="1" applyProtection="1">
      <alignment vertical="center" readingOrder="1"/>
      <protection/>
    </xf>
    <xf numFmtId="0" fontId="0" fillId="0" borderId="0" xfId="0" applyFont="1" applyFill="1" applyBorder="1" applyAlignment="1" applyProtection="1">
      <alignment vertical="center" readingOrder="1"/>
      <protection/>
    </xf>
    <xf numFmtId="0" fontId="0" fillId="0" borderId="10" xfId="0" applyFont="1" applyFill="1" applyBorder="1" applyAlignment="1" applyProtection="1">
      <alignment vertical="center" readingOrder="1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center" readingOrder="1"/>
      <protection/>
    </xf>
    <xf numFmtId="1" fontId="0" fillId="0" borderId="0" xfId="0" applyNumberFormat="1" applyFont="1" applyFill="1" applyBorder="1" applyAlignment="1" applyProtection="1">
      <alignment horizontal="center" readingOrder="1"/>
      <protection/>
    </xf>
    <xf numFmtId="1" fontId="0" fillId="0" borderId="0" xfId="0" applyNumberFormat="1" applyFont="1" applyBorder="1" applyAlignment="1" applyProtection="1">
      <alignment horizontal="center" readingOrder="1"/>
      <protection/>
    </xf>
    <xf numFmtId="1" fontId="62" fillId="0" borderId="0" xfId="0" applyNumberFormat="1" applyFont="1" applyFill="1" applyBorder="1" applyAlignment="1" applyProtection="1">
      <alignment horizontal="center" readingOrder="1"/>
      <protection/>
    </xf>
    <xf numFmtId="1" fontId="0" fillId="0" borderId="0" xfId="0" applyNumberFormat="1" applyFont="1" applyBorder="1" applyAlignment="1" applyProtection="1">
      <alignment horizontal="center" readingOrder="1"/>
      <protection/>
    </xf>
    <xf numFmtId="1" fontId="2" fillId="0" borderId="0" xfId="0" applyNumberFormat="1" applyFont="1" applyFill="1" applyBorder="1" applyAlignment="1" applyProtection="1">
      <alignment horizontal="center" wrapText="1" readingOrder="1"/>
      <protection/>
    </xf>
    <xf numFmtId="0" fontId="0" fillId="0" borderId="0" xfId="0" applyFont="1" applyFill="1" applyBorder="1" applyAlignment="1" applyProtection="1">
      <alignment horizontal="left" vertical="top" wrapText="1" readingOrder="1"/>
      <protection/>
    </xf>
    <xf numFmtId="0" fontId="0" fillId="0" borderId="10" xfId="0" applyFont="1" applyBorder="1" applyAlignment="1" applyProtection="1">
      <alignment horizontal="justify" vertical="top" readingOrder="1"/>
      <protection/>
    </xf>
    <xf numFmtId="0" fontId="12" fillId="0" borderId="0" xfId="51" applyFont="1" applyFill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justify" vertical="top" wrapText="1" readingOrder="1"/>
      <protection/>
    </xf>
    <xf numFmtId="0" fontId="8" fillId="0" borderId="0" xfId="51" applyFont="1" applyFill="1" applyBorder="1" applyAlignment="1" applyProtection="1">
      <alignment horizontal="justify" vertical="top" readingOrder="1"/>
      <protection/>
    </xf>
    <xf numFmtId="49" fontId="16" fillId="0" borderId="15" xfId="51" applyNumberFormat="1" applyFont="1" applyFill="1" applyBorder="1" applyAlignment="1" applyProtection="1">
      <alignment horizontal="center" vertical="top"/>
      <protection/>
    </xf>
    <xf numFmtId="0" fontId="16" fillId="0" borderId="16" xfId="51" applyFont="1" applyFill="1" applyBorder="1" applyAlignment="1" applyProtection="1">
      <alignment vertical="center" wrapText="1" readingOrder="1"/>
      <protection/>
    </xf>
    <xf numFmtId="0" fontId="0" fillId="0" borderId="17" xfId="0" applyFont="1" applyFill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left" vertical="top"/>
      <protection/>
    </xf>
    <xf numFmtId="4" fontId="63" fillId="0" borderId="0" xfId="0" applyNumberFormat="1" applyFont="1" applyFill="1" applyBorder="1" applyAlignment="1" applyProtection="1">
      <alignment horizontal="center"/>
      <protection/>
    </xf>
    <xf numFmtId="0" fontId="63" fillId="0" borderId="1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21" fillId="0" borderId="0" xfId="0" applyFont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4" fillId="0" borderId="13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4" fontId="3" fillId="0" borderId="13" xfId="51" applyNumberFormat="1" applyFont="1" applyBorder="1" applyAlignment="1" applyProtection="1">
      <alignment horizontal="center" vertical="top" wrapText="1"/>
      <protection/>
    </xf>
    <xf numFmtId="49" fontId="2" fillId="0" borderId="14" xfId="51" applyNumberFormat="1" applyFont="1" applyBorder="1" applyAlignment="1" applyProtection="1">
      <alignment horizontal="left" vertical="top"/>
      <protection/>
    </xf>
    <xf numFmtId="0" fontId="2" fillId="0" borderId="14" xfId="51" applyFont="1" applyBorder="1" applyAlignment="1" applyProtection="1">
      <alignment horizontal="justify" vertical="top" readingOrder="1"/>
      <protection/>
    </xf>
    <xf numFmtId="0" fontId="2" fillId="0" borderId="14" xfId="51" applyFont="1" applyBorder="1" applyAlignment="1" applyProtection="1">
      <alignment horizontal="center"/>
      <protection/>
    </xf>
    <xf numFmtId="0" fontId="2" fillId="0" borderId="14" xfId="51" applyFont="1" applyBorder="1" applyProtection="1">
      <alignment/>
      <protection/>
    </xf>
    <xf numFmtId="0" fontId="7" fillId="0" borderId="18" xfId="51" applyFont="1" applyBorder="1" applyProtection="1">
      <alignment/>
      <protection/>
    </xf>
    <xf numFmtId="0" fontId="4" fillId="0" borderId="11" xfId="51" applyFont="1" applyBorder="1" applyAlignment="1" applyProtection="1">
      <alignment vertical="center" readingOrder="1"/>
      <protection/>
    </xf>
    <xf numFmtId="0" fontId="17" fillId="0" borderId="11" xfId="0" applyFont="1" applyBorder="1" applyAlignment="1" applyProtection="1">
      <alignment vertical="center" readingOrder="1"/>
      <protection/>
    </xf>
    <xf numFmtId="0" fontId="0" fillId="0" borderId="11" xfId="0" applyFont="1" applyBorder="1" applyAlignment="1" applyProtection="1">
      <alignment vertical="center" readingOrder="1"/>
      <protection/>
    </xf>
    <xf numFmtId="4" fontId="0" fillId="0" borderId="11" xfId="0" applyNumberFormat="1" applyFont="1" applyBorder="1" applyAlignment="1" applyProtection="1">
      <alignment vertical="top"/>
      <protection/>
    </xf>
    <xf numFmtId="0" fontId="4" fillId="0" borderId="19" xfId="51" applyFont="1" applyBorder="1" applyAlignment="1" applyProtection="1">
      <alignment vertical="center" readingOrder="1"/>
      <protection/>
    </xf>
    <xf numFmtId="4" fontId="10" fillId="10" borderId="12" xfId="0" applyNumberFormat="1" applyFont="1" applyFill="1" applyBorder="1" applyAlignment="1" applyProtection="1">
      <alignment/>
      <protection locked="0"/>
    </xf>
    <xf numFmtId="4" fontId="2" fillId="10" borderId="10" xfId="0" applyNumberFormat="1" applyFont="1" applyFill="1" applyBorder="1" applyAlignment="1" applyProtection="1">
      <alignment horizontal="center"/>
      <protection locked="0"/>
    </xf>
    <xf numFmtId="0" fontId="6" fillId="0" borderId="13" xfId="51" applyFont="1" applyBorder="1" applyProtection="1">
      <alignment/>
      <protection/>
    </xf>
    <xf numFmtId="0" fontId="7" fillId="0" borderId="10" xfId="51" applyFont="1" applyFill="1" applyBorder="1" applyProtection="1">
      <alignment/>
      <protection/>
    </xf>
    <xf numFmtId="0" fontId="6" fillId="10" borderId="14" xfId="51" applyFont="1" applyFill="1" applyBorder="1" applyProtection="1">
      <alignment/>
      <protection/>
    </xf>
    <xf numFmtId="4" fontId="7" fillId="10" borderId="20" xfId="51" applyNumberFormat="1" applyFont="1" applyFill="1" applyBorder="1" applyProtection="1">
      <alignment/>
      <protection/>
    </xf>
    <xf numFmtId="4" fontId="4" fillId="10" borderId="17" xfId="51" applyNumberFormat="1" applyFont="1" applyFill="1" applyBorder="1" applyAlignment="1" applyProtection="1">
      <alignment vertical="center" readingOrder="1"/>
      <protection/>
    </xf>
    <xf numFmtId="4" fontId="0" fillId="10" borderId="17" xfId="0" applyNumberFormat="1" applyFont="1" applyFill="1" applyBorder="1" applyAlignment="1" applyProtection="1">
      <alignment horizontal="right"/>
      <protection locked="0"/>
    </xf>
    <xf numFmtId="4" fontId="63" fillId="10" borderId="17" xfId="0" applyNumberFormat="1" applyFont="1" applyFill="1" applyBorder="1" applyAlignment="1" applyProtection="1">
      <alignment horizontal="right"/>
      <protection locked="0"/>
    </xf>
    <xf numFmtId="4" fontId="2" fillId="10" borderId="0" xfId="50" applyNumberFormat="1" applyFont="1" applyFill="1" applyBorder="1" applyProtection="1">
      <alignment/>
      <protection locked="0"/>
    </xf>
    <xf numFmtId="4" fontId="19" fillId="10" borderId="13" xfId="50" applyNumberFormat="1" applyFont="1" applyFill="1" applyBorder="1" applyProtection="1">
      <alignment/>
      <protection locked="0"/>
    </xf>
    <xf numFmtId="4" fontId="2" fillId="10" borderId="17" xfId="50" applyNumberFormat="1" applyFont="1" applyFill="1" applyBorder="1" applyProtection="1">
      <alignment/>
      <protection locked="0"/>
    </xf>
    <xf numFmtId="4" fontId="2" fillId="10" borderId="17" xfId="50" applyNumberFormat="1" applyFont="1" applyFill="1" applyBorder="1" applyAlignment="1" applyProtection="1">
      <alignment wrapText="1"/>
      <protection locked="0"/>
    </xf>
    <xf numFmtId="0" fontId="19" fillId="0" borderId="13" xfId="0" applyFont="1" applyBorder="1" applyAlignment="1" applyProtection="1">
      <alignment vertical="center"/>
      <protection/>
    </xf>
    <xf numFmtId="0" fontId="19" fillId="0" borderId="13" xfId="51" applyFont="1" applyFill="1" applyBorder="1" applyAlignment="1" applyProtection="1">
      <alignment vertical="center" wrapText="1"/>
      <protection/>
    </xf>
    <xf numFmtId="0" fontId="19" fillId="0" borderId="13" xfId="0" applyFont="1" applyFill="1" applyBorder="1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/>
      <protection/>
    </xf>
    <xf numFmtId="49" fontId="19" fillId="0" borderId="13" xfId="51" applyNumberFormat="1" applyFont="1" applyFill="1" applyBorder="1" applyAlignment="1" applyProtection="1">
      <alignment horizontal="center"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10" borderId="13" xfId="0" applyFont="1" applyFill="1" applyBorder="1" applyAlignment="1" applyProtection="1">
      <alignment horizontal="center"/>
      <protection/>
    </xf>
    <xf numFmtId="4" fontId="3" fillId="10" borderId="21" xfId="51" applyNumberFormat="1" applyFont="1" applyFill="1" applyBorder="1" applyAlignment="1" applyProtection="1">
      <alignment horizontal="center" vertical="top" wrapText="1"/>
      <protection/>
    </xf>
    <xf numFmtId="49" fontId="19" fillId="0" borderId="13" xfId="48" applyNumberFormat="1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vertical="center" wrapText="1"/>
      <protection/>
    </xf>
    <xf numFmtId="49" fontId="19" fillId="0" borderId="13" xfId="50" applyNumberFormat="1" applyFont="1" applyFill="1" applyBorder="1" applyAlignment="1" applyProtection="1">
      <alignment horizontal="center" vertical="center"/>
      <protection/>
    </xf>
    <xf numFmtId="0" fontId="19" fillId="0" borderId="13" xfId="50" applyFont="1" applyFill="1" applyBorder="1" applyAlignment="1" applyProtection="1">
      <alignment vertical="center" wrapText="1"/>
      <protection/>
    </xf>
    <xf numFmtId="4" fontId="10" fillId="0" borderId="11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 readingOrder="1"/>
      <protection/>
    </xf>
    <xf numFmtId="4" fontId="2" fillId="0" borderId="0" xfId="0" applyNumberFormat="1" applyFont="1" applyFill="1" applyBorder="1" applyAlignment="1" applyProtection="1">
      <alignment horizontal="left"/>
      <protection/>
    </xf>
    <xf numFmtId="4" fontId="12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 wrapText="1" readingOrder="1"/>
      <protection/>
    </xf>
    <xf numFmtId="0" fontId="12" fillId="0" borderId="0" xfId="0" applyFont="1" applyBorder="1" applyAlignment="1" applyProtection="1">
      <alignment wrapText="1"/>
      <protection/>
    </xf>
    <xf numFmtId="0" fontId="19" fillId="0" borderId="22" xfId="50" applyFont="1" applyFill="1" applyBorder="1" applyAlignment="1" applyProtection="1">
      <alignment horizontal="center"/>
      <protection/>
    </xf>
    <xf numFmtId="4" fontId="19" fillId="10" borderId="22" xfId="50" applyNumberFormat="1" applyFont="1" applyFill="1" applyBorder="1" applyProtection="1">
      <alignment/>
      <protection/>
    </xf>
    <xf numFmtId="4" fontId="19" fillId="0" borderId="10" xfId="50" applyNumberFormat="1" applyFont="1" applyFill="1" applyBorder="1" applyProtection="1">
      <alignment/>
      <protection/>
    </xf>
    <xf numFmtId="49" fontId="15" fillId="0" borderId="12" xfId="50" applyNumberFormat="1" applyFont="1" applyFill="1" applyBorder="1" applyAlignment="1" applyProtection="1">
      <alignment horizontal="center" vertical="top"/>
      <protection/>
    </xf>
    <xf numFmtId="0" fontId="15" fillId="0" borderId="12" xfId="50" applyFont="1" applyFill="1" applyBorder="1" applyAlignment="1" applyProtection="1">
      <alignment horizontal="left"/>
      <protection/>
    </xf>
    <xf numFmtId="0" fontId="2" fillId="0" borderId="12" xfId="50" applyFont="1" applyFill="1" applyBorder="1" applyAlignment="1" applyProtection="1">
      <alignment horizontal="center"/>
      <protection/>
    </xf>
    <xf numFmtId="4" fontId="2" fillId="0" borderId="12" xfId="50" applyNumberFormat="1" applyFont="1" applyFill="1" applyBorder="1" applyProtection="1">
      <alignment/>
      <protection/>
    </xf>
    <xf numFmtId="0" fontId="63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justify" vertical="top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65" fillId="0" borderId="10" xfId="0" applyFont="1" applyFill="1" applyBorder="1" applyAlignment="1" applyProtection="1">
      <alignment horizontal="justify" vertical="top"/>
      <protection/>
    </xf>
    <xf numFmtId="0" fontId="65" fillId="0" borderId="10" xfId="0" applyFont="1" applyFill="1" applyBorder="1" applyAlignment="1" applyProtection="1">
      <alignment horizontal="center"/>
      <protection/>
    </xf>
    <xf numFmtId="4" fontId="63" fillId="0" borderId="10" xfId="0" applyNumberFormat="1" applyFont="1" applyFill="1" applyBorder="1" applyAlignment="1" applyProtection="1">
      <alignment horizontal="right"/>
      <protection/>
    </xf>
    <xf numFmtId="0" fontId="2" fillId="0" borderId="17" xfId="0" applyFont="1" applyFill="1" applyBorder="1" applyAlignment="1" applyProtection="1">
      <alignment horizontal="center"/>
      <protection/>
    </xf>
    <xf numFmtId="49" fontId="15" fillId="0" borderId="0" xfId="50" applyNumberFormat="1" applyFont="1" applyFill="1" applyBorder="1" applyAlignment="1" applyProtection="1">
      <alignment horizontal="center" vertical="top"/>
      <protection/>
    </xf>
    <xf numFmtId="0" fontId="15" fillId="0" borderId="0" xfId="50" applyFont="1" applyFill="1" applyBorder="1" applyAlignment="1" applyProtection="1">
      <alignment horizontal="left"/>
      <protection/>
    </xf>
    <xf numFmtId="0" fontId="2" fillId="0" borderId="0" xfId="50" applyFont="1" applyFill="1" applyBorder="1" applyAlignment="1" applyProtection="1">
      <alignment horizontal="center"/>
      <protection/>
    </xf>
    <xf numFmtId="4" fontId="2" fillId="0" borderId="0" xfId="50" applyNumberFormat="1" applyFont="1" applyFill="1" applyBorder="1" applyProtection="1">
      <alignment/>
      <protection/>
    </xf>
    <xf numFmtId="4" fontId="2" fillId="0" borderId="23" xfId="50" applyNumberFormat="1" applyFont="1" applyFill="1" applyBorder="1" applyProtection="1">
      <alignment/>
      <protection/>
    </xf>
    <xf numFmtId="0" fontId="15" fillId="0" borderId="0" xfId="50" applyFont="1" applyFill="1" applyAlignment="1" applyProtection="1">
      <alignment/>
      <protection/>
    </xf>
    <xf numFmtId="0" fontId="2" fillId="0" borderId="0" xfId="50" applyFont="1" applyFill="1" applyBorder="1" applyAlignment="1" applyProtection="1">
      <alignment horizontal="justify" vertical="top" wrapText="1"/>
      <protection/>
    </xf>
    <xf numFmtId="49" fontId="13" fillId="0" borderId="13" xfId="50" applyNumberFormat="1" applyFont="1" applyFill="1" applyBorder="1" applyAlignment="1" applyProtection="1">
      <alignment horizontal="center" vertical="top"/>
      <protection/>
    </xf>
    <xf numFmtId="0" fontId="13" fillId="0" borderId="13" xfId="50" applyFont="1" applyFill="1" applyBorder="1" applyAlignment="1" applyProtection="1">
      <alignment wrapText="1"/>
      <protection/>
    </xf>
    <xf numFmtId="0" fontId="19" fillId="0" borderId="13" xfId="50" applyFont="1" applyFill="1" applyBorder="1" applyAlignment="1" applyProtection="1">
      <alignment horizontal="center"/>
      <protection/>
    </xf>
    <xf numFmtId="4" fontId="19" fillId="0" borderId="13" xfId="50" applyNumberFormat="1" applyFont="1" applyFill="1" applyBorder="1" applyProtection="1">
      <alignment/>
      <protection/>
    </xf>
    <xf numFmtId="49" fontId="15" fillId="0" borderId="10" xfId="50" applyNumberFormat="1" applyFont="1" applyFill="1" applyBorder="1" applyAlignment="1" applyProtection="1">
      <alignment horizontal="center" vertical="top"/>
      <protection/>
    </xf>
    <xf numFmtId="0" fontId="15" fillId="0" borderId="10" xfId="50" applyFont="1" applyFill="1" applyBorder="1" applyAlignment="1" applyProtection="1">
      <alignment horizontal="left"/>
      <protection/>
    </xf>
    <xf numFmtId="0" fontId="2" fillId="0" borderId="17" xfId="50" applyFont="1" applyFill="1" applyBorder="1" applyAlignment="1" applyProtection="1">
      <alignment horizontal="center"/>
      <protection/>
    </xf>
    <xf numFmtId="0" fontId="2" fillId="0" borderId="10" xfId="50" applyFont="1" applyFill="1" applyBorder="1" applyAlignment="1" applyProtection="1">
      <alignment horizontal="center"/>
      <protection/>
    </xf>
    <xf numFmtId="4" fontId="2" fillId="0" borderId="10" xfId="50" applyNumberFormat="1" applyFont="1" applyFill="1" applyBorder="1" applyProtection="1">
      <alignment/>
      <protection/>
    </xf>
    <xf numFmtId="0" fontId="2" fillId="0" borderId="17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49" fontId="2" fillId="0" borderId="10" xfId="50" applyNumberFormat="1" applyFont="1" applyFill="1" applyBorder="1" applyAlignment="1" applyProtection="1">
      <alignment horizontal="center" vertical="top" wrapText="1"/>
      <protection/>
    </xf>
    <xf numFmtId="0" fontId="2" fillId="0" borderId="10" xfId="5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justify" vertical="top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/>
      <protection/>
    </xf>
    <xf numFmtId="49" fontId="2" fillId="0" borderId="0" xfId="50" applyNumberFormat="1" applyFont="1" applyFill="1" applyBorder="1" applyAlignment="1" applyProtection="1">
      <alignment horizontal="center" vertical="top" wrapText="1"/>
      <protection/>
    </xf>
    <xf numFmtId="0" fontId="2" fillId="0" borderId="0" xfId="50" applyFont="1" applyFill="1" applyBorder="1" applyAlignment="1" applyProtection="1">
      <alignment horizontal="center" wrapText="1"/>
      <protection/>
    </xf>
    <xf numFmtId="9" fontId="2" fillId="0" borderId="0" xfId="50" applyNumberFormat="1" applyFont="1" applyFill="1" applyBorder="1" applyAlignment="1" applyProtection="1">
      <alignment horizontal="center" wrapText="1"/>
      <protection/>
    </xf>
    <xf numFmtId="0" fontId="11" fillId="0" borderId="0" xfId="50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" fontId="17" fillId="10" borderId="10" xfId="0" applyNumberFormat="1" applyFont="1" applyFill="1" applyBorder="1" applyAlignment="1" applyProtection="1">
      <alignment vertical="center" readingOrder="1"/>
      <protection locked="0"/>
    </xf>
    <xf numFmtId="4" fontId="0" fillId="10" borderId="10" xfId="0" applyNumberFormat="1" applyFont="1" applyFill="1" applyBorder="1" applyAlignment="1" applyProtection="1">
      <alignment vertical="center" readingOrder="1"/>
      <protection locked="0"/>
    </xf>
    <xf numFmtId="4" fontId="0" fillId="10" borderId="10" xfId="0" applyNumberFormat="1" applyFont="1" applyFill="1" applyBorder="1" applyAlignment="1" applyProtection="1">
      <alignment vertical="top"/>
      <protection locked="0"/>
    </xf>
    <xf numFmtId="4" fontId="0" fillId="10" borderId="10" xfId="0" applyNumberFormat="1" applyFont="1" applyFill="1" applyBorder="1" applyAlignment="1" applyProtection="1">
      <alignment/>
      <protection locked="0"/>
    </xf>
    <xf numFmtId="4" fontId="2" fillId="10" borderId="17" xfId="0" applyNumberFormat="1" applyFont="1" applyFill="1" applyBorder="1" applyAlignment="1" applyProtection="1">
      <alignment wrapText="1"/>
      <protection locked="0"/>
    </xf>
    <xf numFmtId="4" fontId="2" fillId="10" borderId="0" xfId="0" applyNumberFormat="1" applyFont="1" applyFill="1" applyBorder="1" applyAlignment="1" applyProtection="1">
      <alignment wrapText="1"/>
      <protection locked="0"/>
    </xf>
    <xf numFmtId="4" fontId="0" fillId="10" borderId="0" xfId="0" applyNumberFormat="1" applyFont="1" applyFill="1" applyBorder="1" applyAlignment="1" applyProtection="1">
      <alignment horizontal="right"/>
      <protection locked="0"/>
    </xf>
    <xf numFmtId="4" fontId="2" fillId="10" borderId="0" xfId="0" applyNumberFormat="1" applyFont="1" applyFill="1" applyAlignment="1" applyProtection="1">
      <alignment horizontal="right"/>
      <protection locked="0"/>
    </xf>
    <xf numFmtId="4" fontId="0" fillId="10" borderId="17" xfId="0" applyNumberFormat="1" applyFont="1" applyFill="1" applyBorder="1" applyAlignment="1" applyProtection="1">
      <alignment/>
      <protection locked="0"/>
    </xf>
    <xf numFmtId="4" fontId="7" fillId="0" borderId="0" xfId="51" applyNumberFormat="1" applyFont="1" applyBorder="1" applyProtection="1">
      <alignment/>
      <protection/>
    </xf>
    <xf numFmtId="0" fontId="7" fillId="0" borderId="11" xfId="51" applyFont="1" applyBorder="1" applyProtection="1">
      <alignment/>
      <protection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 applyProtection="1">
      <alignment vertical="center" readingOrder="1"/>
      <protection/>
    </xf>
    <xf numFmtId="0" fontId="0" fillId="0" borderId="17" xfId="0" applyFont="1" applyFill="1" applyBorder="1" applyAlignment="1" applyProtection="1">
      <alignment horizontal="center" readingOrder="1"/>
      <protection/>
    </xf>
    <xf numFmtId="4" fontId="0" fillId="0" borderId="17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justify" vertical="top" readingOrder="1"/>
      <protection/>
    </xf>
    <xf numFmtId="49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readingOrder="1"/>
      <protection/>
    </xf>
    <xf numFmtId="4" fontId="0" fillId="0" borderId="0" xfId="0" applyNumberFormat="1" applyFont="1" applyBorder="1" applyAlignment="1" applyProtection="1">
      <alignment/>
      <protection/>
    </xf>
    <xf numFmtId="4" fontId="7" fillId="10" borderId="12" xfId="51" applyNumberFormat="1" applyFont="1" applyFill="1" applyBorder="1" applyProtection="1">
      <alignment/>
      <protection/>
    </xf>
    <xf numFmtId="4" fontId="4" fillId="10" borderId="10" xfId="51" applyNumberFormat="1" applyFont="1" applyFill="1" applyBorder="1" applyAlignment="1" applyProtection="1">
      <alignment vertical="center" readingOrder="1"/>
      <protection/>
    </xf>
    <xf numFmtId="4" fontId="2" fillId="0" borderId="23" xfId="0" applyNumberFormat="1" applyFont="1" applyFill="1" applyBorder="1" applyAlignment="1" applyProtection="1">
      <alignment horizontal="right"/>
      <protection/>
    </xf>
    <xf numFmtId="4" fontId="0" fillId="10" borderId="10" xfId="0" applyNumberFormat="1" applyFont="1" applyFill="1" applyBorder="1" applyAlignment="1" applyProtection="1">
      <alignment horizontal="right"/>
      <protection locked="0"/>
    </xf>
    <xf numFmtId="4" fontId="3" fillId="0" borderId="21" xfId="51" applyNumberFormat="1" applyFont="1" applyBorder="1" applyAlignment="1" applyProtection="1">
      <alignment horizontal="center" vertical="top"/>
      <protection/>
    </xf>
    <xf numFmtId="4" fontId="3" fillId="0" borderId="24" xfId="51" applyNumberFormat="1" applyFont="1" applyBorder="1" applyAlignment="1" applyProtection="1">
      <alignment horizontal="center" vertical="top" wrapText="1"/>
      <protection/>
    </xf>
    <xf numFmtId="4" fontId="4" fillId="10" borderId="15" xfId="51" applyNumberFormat="1" applyFont="1" applyFill="1" applyBorder="1" applyAlignment="1" applyProtection="1">
      <alignment vertical="center" readingOrder="1"/>
      <protection/>
    </xf>
    <xf numFmtId="4" fontId="2" fillId="10" borderId="17" xfId="0" applyNumberFormat="1" applyFont="1" applyFill="1" applyBorder="1" applyAlignment="1" applyProtection="1">
      <alignment horizontal="right"/>
      <protection locked="0"/>
    </xf>
    <xf numFmtId="4" fontId="2" fillId="10" borderId="0" xfId="0" applyNumberFormat="1" applyFont="1" applyFill="1" applyAlignment="1" applyProtection="1">
      <alignment horizontal="center" vertical="top" wrapText="1"/>
      <protection locked="0"/>
    </xf>
    <xf numFmtId="4" fontId="2" fillId="10" borderId="0" xfId="0" applyNumberFormat="1" applyFont="1" applyFill="1" applyAlignment="1" applyProtection="1">
      <alignment horizontal="left" vertical="top" wrapText="1"/>
      <protection locked="0"/>
    </xf>
    <xf numFmtId="4" fontId="2" fillId="10" borderId="0" xfId="0" applyNumberFormat="1" applyFont="1" applyFill="1" applyBorder="1" applyAlignment="1" applyProtection="1">
      <alignment horizontal="right"/>
      <protection locked="0"/>
    </xf>
    <xf numFmtId="4" fontId="3" fillId="10" borderId="13" xfId="51" applyNumberFormat="1" applyFont="1" applyFill="1" applyBorder="1" applyAlignment="1" applyProtection="1">
      <alignment horizontal="center" vertical="top" wrapText="1"/>
      <protection/>
    </xf>
    <xf numFmtId="0" fontId="2" fillId="10" borderId="14" xfId="51" applyFont="1" applyFill="1" applyBorder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19" fillId="0" borderId="22" xfId="47" applyFont="1" applyFill="1" applyBorder="1" applyAlignment="1" applyProtection="1">
      <alignment horizontal="center"/>
      <protection/>
    </xf>
    <xf numFmtId="49" fontId="15" fillId="0" borderId="12" xfId="47" applyNumberFormat="1" applyFont="1" applyFill="1" applyBorder="1" applyAlignment="1" applyProtection="1">
      <alignment horizontal="center" vertical="top"/>
      <protection/>
    </xf>
    <xf numFmtId="0" fontId="15" fillId="0" borderId="12" xfId="47" applyFont="1" applyFill="1" applyBorder="1" applyAlignment="1" applyProtection="1">
      <alignment horizontal="left"/>
      <protection/>
    </xf>
    <xf numFmtId="0" fontId="2" fillId="0" borderId="12" xfId="47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readingOrder="1"/>
      <protection/>
    </xf>
    <xf numFmtId="0" fontId="2" fillId="0" borderId="10" xfId="0" applyFont="1" applyFill="1" applyBorder="1" applyAlignment="1" applyProtection="1">
      <alignment horizontal="justify" vertical="top" readingOrder="1"/>
      <protection/>
    </xf>
    <xf numFmtId="0" fontId="2" fillId="0" borderId="0" xfId="0" applyFont="1" applyFill="1" applyBorder="1" applyAlignment="1" applyProtection="1">
      <alignment horizontal="center" readingOrder="1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 wrapText="1"/>
      <protection/>
    </xf>
    <xf numFmtId="4" fontId="2" fillId="10" borderId="20" xfId="50" applyNumberFormat="1" applyFont="1" applyFill="1" applyBorder="1" applyProtection="1">
      <alignment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63" fillId="0" borderId="10" xfId="0" applyFont="1" applyFill="1" applyBorder="1" applyAlignment="1" applyProtection="1">
      <alignment horizontal="center" vertical="top"/>
      <protection/>
    </xf>
    <xf numFmtId="0" fontId="65" fillId="0" borderId="0" xfId="0" applyFont="1" applyFill="1" applyBorder="1" applyAlignment="1" applyProtection="1">
      <alignment horizontal="center"/>
      <protection/>
    </xf>
    <xf numFmtId="2" fontId="63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63" fillId="0" borderId="10" xfId="0" applyFont="1" applyFill="1" applyBorder="1" applyAlignment="1" applyProtection="1">
      <alignment horizontal="center" vertical="top"/>
      <protection/>
    </xf>
    <xf numFmtId="2" fontId="63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justify" vertical="top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justify"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14" fontId="0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5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50" applyFont="1" applyFill="1" applyBorder="1" applyAlignment="1" applyProtection="1">
      <alignment horizontal="left" vertical="top" wrapText="1"/>
      <protection/>
    </xf>
    <xf numFmtId="0" fontId="2" fillId="0" borderId="0" xfId="47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0" xfId="50" applyFont="1" applyFill="1" applyBorder="1" applyAlignment="1" applyProtection="1">
      <alignment vertical="top"/>
      <protection/>
    </xf>
    <xf numFmtId="0" fontId="2" fillId="0" borderId="0" xfId="5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0" xfId="50" applyFont="1" applyFill="1" applyBorder="1" applyAlignment="1" applyProtection="1">
      <alignment horizontal="justify" wrapText="1"/>
      <protection/>
    </xf>
    <xf numFmtId="4" fontId="63" fillId="10" borderId="0" xfId="0" applyNumberFormat="1" applyFont="1" applyFill="1" applyBorder="1" applyAlignment="1" applyProtection="1">
      <alignment horizontal="right"/>
      <protection locked="0"/>
    </xf>
    <xf numFmtId="4" fontId="0" fillId="10" borderId="0" xfId="0" applyNumberFormat="1" applyFont="1" applyFill="1" applyBorder="1" applyAlignment="1" applyProtection="1">
      <alignment horizontal="right"/>
      <protection locked="0"/>
    </xf>
    <xf numFmtId="4" fontId="65" fillId="10" borderId="0" xfId="0" applyNumberFormat="1" applyFont="1" applyFill="1" applyBorder="1" applyAlignment="1" applyProtection="1">
      <alignment horizontal="right"/>
      <protection locked="0"/>
    </xf>
    <xf numFmtId="4" fontId="2" fillId="10" borderId="10" xfId="0" applyNumberFormat="1" applyFont="1" applyFill="1" applyBorder="1" applyAlignment="1" applyProtection="1">
      <alignment horizontal="right"/>
      <protection locked="0"/>
    </xf>
    <xf numFmtId="0" fontId="2" fillId="10" borderId="13" xfId="51" applyFont="1" applyFill="1" applyBorder="1" applyProtection="1">
      <alignment/>
      <protection/>
    </xf>
    <xf numFmtId="49" fontId="13" fillId="0" borderId="15" xfId="48" applyNumberFormat="1" applyFont="1" applyFill="1" applyBorder="1" applyAlignment="1" applyProtection="1">
      <alignment horizontal="center" vertical="top"/>
      <protection/>
    </xf>
    <xf numFmtId="0" fontId="13" fillId="0" borderId="17" xfId="0" applyFont="1" applyFill="1" applyBorder="1" applyAlignment="1" applyProtection="1">
      <alignment wrapText="1"/>
      <protection/>
    </xf>
    <xf numFmtId="49" fontId="14" fillId="0" borderId="12" xfId="0" applyNumberFormat="1" applyFont="1" applyFill="1" applyBorder="1" applyAlignment="1" applyProtection="1">
      <alignment horizontal="right" vertical="top"/>
      <protection/>
    </xf>
    <xf numFmtId="0" fontId="14" fillId="0" borderId="20" xfId="0" applyFont="1" applyFill="1" applyBorder="1" applyAlignment="1" applyProtection="1">
      <alignment vertical="top"/>
      <protection/>
    </xf>
    <xf numFmtId="0" fontId="2" fillId="0" borderId="20" xfId="0" applyFont="1" applyBorder="1" applyAlignment="1" applyProtection="1">
      <alignment horizontal="center" wrapText="1"/>
      <protection/>
    </xf>
    <xf numFmtId="1" fontId="0" fillId="0" borderId="17" xfId="0" applyNumberFormat="1" applyFont="1" applyFill="1" applyBorder="1" applyAlignment="1" applyProtection="1">
      <alignment horizontal="center" vertical="top" readingOrder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1" fontId="2" fillId="0" borderId="17" xfId="0" applyNumberFormat="1" applyFont="1" applyFill="1" applyBorder="1" applyAlignment="1" applyProtection="1">
      <alignment horizontal="center" wrapText="1" readingOrder="1"/>
      <protection/>
    </xf>
    <xf numFmtId="1" fontId="2" fillId="0" borderId="17" xfId="0" applyNumberFormat="1" applyFont="1" applyFill="1" applyBorder="1" applyAlignment="1" applyProtection="1">
      <alignment horizontal="center" readingOrder="1"/>
      <protection/>
    </xf>
    <xf numFmtId="0" fontId="2" fillId="0" borderId="10" xfId="51" applyFont="1" applyFill="1" applyBorder="1" applyAlignment="1" applyProtection="1">
      <alignment horizontal="justify" wrapText="1"/>
      <protection/>
    </xf>
    <xf numFmtId="4" fontId="0" fillId="0" borderId="11" xfId="0" applyNumberFormat="1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vertical="top" wrapText="1"/>
      <protection/>
    </xf>
    <xf numFmtId="0" fontId="45" fillId="0" borderId="0" xfId="47">
      <alignment/>
      <protection/>
    </xf>
    <xf numFmtId="0" fontId="45" fillId="0" borderId="0" xfId="48">
      <alignment/>
      <protection/>
    </xf>
    <xf numFmtId="0" fontId="45" fillId="0" borderId="0" xfId="50">
      <alignment/>
      <protection/>
    </xf>
    <xf numFmtId="0" fontId="0" fillId="0" borderId="0" xfId="51">
      <alignment/>
      <protection/>
    </xf>
    <xf numFmtId="4" fontId="0" fillId="10" borderId="10" xfId="0" applyNumberFormat="1" applyFont="1" applyFill="1" applyBorder="1" applyAlignment="1" applyProtection="1">
      <alignment readingOrder="1"/>
      <protection locked="0"/>
    </xf>
    <xf numFmtId="4" fontId="0" fillId="10" borderId="10" xfId="0" applyNumberFormat="1" applyFont="1" applyFill="1" applyBorder="1" applyAlignment="1" applyProtection="1">
      <alignment readingOrder="1"/>
      <protection locked="0"/>
    </xf>
    <xf numFmtId="49" fontId="62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0" xfId="51" applyNumberFormat="1" applyFont="1" applyFill="1" applyAlignment="1" applyProtection="1">
      <alignment horizontal="left" vertical="top"/>
      <protection/>
    </xf>
    <xf numFmtId="49" fontId="3" fillId="0" borderId="13" xfId="51" applyNumberFormat="1" applyFont="1" applyFill="1" applyBorder="1" applyAlignment="1" applyProtection="1">
      <alignment horizontal="center" vertical="top" wrapText="1"/>
      <protection/>
    </xf>
    <xf numFmtId="49" fontId="2" fillId="0" borderId="14" xfId="51" applyNumberFormat="1" applyFont="1" applyFill="1" applyBorder="1" applyAlignment="1" applyProtection="1">
      <alignment horizontal="left" vertical="top"/>
      <protection/>
    </xf>
    <xf numFmtId="49" fontId="9" fillId="0" borderId="10" xfId="51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51" applyFont="1" applyFill="1" applyBorder="1" applyAlignment="1" applyProtection="1">
      <alignment horizontal="center" vertical="top"/>
      <protection/>
    </xf>
    <xf numFmtId="0" fontId="0" fillId="0" borderId="17" xfId="5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top"/>
      <protection/>
    </xf>
    <xf numFmtId="0" fontId="0" fillId="0" borderId="0" xfId="51" applyFont="1" applyFill="1" applyAlignment="1" applyProtection="1">
      <alignment horizontal="right"/>
      <protection/>
    </xf>
    <xf numFmtId="4" fontId="0" fillId="10" borderId="10" xfId="0" applyNumberFormat="1" applyFont="1" applyFill="1" applyBorder="1" applyAlignment="1" applyProtection="1">
      <alignment horizontal="center"/>
      <protection locked="0"/>
    </xf>
    <xf numFmtId="4" fontId="0" fillId="10" borderId="10" xfId="0" applyNumberFormat="1" applyFont="1" applyFill="1" applyBorder="1" applyAlignment="1" applyProtection="1">
      <alignment horizontal="center" readingOrder="1"/>
      <protection locked="0"/>
    </xf>
    <xf numFmtId="4" fontId="0" fillId="10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13" fillId="0" borderId="13" xfId="0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13" fillId="10" borderId="13" xfId="0" applyFont="1" applyFill="1" applyBorder="1" applyAlignment="1" applyProtection="1">
      <alignment vertical="center"/>
      <protection/>
    </xf>
    <xf numFmtId="4" fontId="9" fillId="10" borderId="13" xfId="0" applyNumberFormat="1" applyFont="1" applyFill="1" applyBorder="1" applyAlignment="1" applyProtection="1">
      <alignment/>
      <protection/>
    </xf>
    <xf numFmtId="0" fontId="13" fillId="10" borderId="13" xfId="0" applyFont="1" applyFill="1" applyBorder="1" applyAlignment="1" applyProtection="1">
      <alignment wrapText="1"/>
      <protection/>
    </xf>
    <xf numFmtId="0" fontId="0" fillId="10" borderId="13" xfId="0" applyFont="1" applyFill="1" applyBorder="1" applyAlignment="1" applyProtection="1">
      <alignment horizontal="center"/>
      <protection/>
    </xf>
    <xf numFmtId="1" fontId="0" fillId="10" borderId="13" xfId="0" applyNumberFormat="1" applyFont="1" applyFill="1" applyBorder="1" applyAlignment="1" applyProtection="1">
      <alignment horizontal="center" readingOrder="1"/>
      <protection/>
    </xf>
    <xf numFmtId="4" fontId="2" fillId="10" borderId="13" xfId="0" applyNumberFormat="1" applyFont="1" applyFill="1" applyBorder="1" applyAlignment="1" applyProtection="1">
      <alignment horizontal="right"/>
      <protection/>
    </xf>
    <xf numFmtId="49" fontId="13" fillId="10" borderId="13" xfId="48" applyNumberFormat="1" applyFont="1" applyFill="1" applyBorder="1" applyAlignment="1" applyProtection="1">
      <alignment horizontal="center" vertical="top"/>
      <protection/>
    </xf>
    <xf numFmtId="4" fontId="15" fillId="10" borderId="13" xfId="0" applyNumberFormat="1" applyFont="1" applyFill="1" applyBorder="1" applyAlignment="1" applyProtection="1">
      <alignment/>
      <protection/>
    </xf>
    <xf numFmtId="0" fontId="66" fillId="10" borderId="13" xfId="0" applyFont="1" applyFill="1" applyBorder="1" applyAlignment="1" applyProtection="1">
      <alignment horizontal="center" vertical="top"/>
      <protection/>
    </xf>
    <xf numFmtId="0" fontId="15" fillId="10" borderId="13" xfId="0" applyFont="1" applyFill="1" applyBorder="1" applyAlignment="1" applyProtection="1">
      <alignment horizontal="justify" vertical="top"/>
      <protection/>
    </xf>
    <xf numFmtId="0" fontId="23" fillId="10" borderId="13" xfId="0" applyFont="1" applyFill="1" applyBorder="1" applyAlignment="1" applyProtection="1">
      <alignment horizontal="center"/>
      <protection/>
    </xf>
    <xf numFmtId="0" fontId="15" fillId="10" borderId="13" xfId="0" applyFont="1" applyFill="1" applyBorder="1" applyAlignment="1" applyProtection="1">
      <alignment horizontal="center"/>
      <protection/>
    </xf>
    <xf numFmtId="4" fontId="15" fillId="10" borderId="13" xfId="0" applyNumberFormat="1" applyFont="1" applyFill="1" applyBorder="1" applyAlignment="1" applyProtection="1">
      <alignment horizontal="left"/>
      <protection/>
    </xf>
    <xf numFmtId="4" fontId="15" fillId="10" borderId="13" xfId="0" applyNumberFormat="1" applyFont="1" applyFill="1" applyBorder="1" applyAlignment="1" applyProtection="1">
      <alignment horizontal="right"/>
      <protection/>
    </xf>
    <xf numFmtId="0" fontId="12" fillId="10" borderId="13" xfId="0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49" fontId="12" fillId="10" borderId="13" xfId="0" applyNumberFormat="1" applyFont="1" applyFill="1" applyBorder="1" applyAlignment="1" applyProtection="1">
      <alignment horizontal="center" vertical="top"/>
      <protection/>
    </xf>
    <xf numFmtId="0" fontId="12" fillId="10" borderId="13" xfId="0" applyFont="1" applyFill="1" applyBorder="1" applyAlignment="1" applyProtection="1">
      <alignment vertical="top" wrapText="1" readingOrder="1"/>
      <protection/>
    </xf>
    <xf numFmtId="0" fontId="12" fillId="10" borderId="13" xfId="0" applyFont="1" applyFill="1" applyBorder="1" applyAlignment="1" applyProtection="1">
      <alignment horizontal="center"/>
      <protection/>
    </xf>
    <xf numFmtId="4" fontId="15" fillId="10" borderId="13" xfId="0" applyNumberFormat="1" applyFont="1" applyFill="1" applyBorder="1" applyAlignment="1" applyProtection="1">
      <alignment horizontal="center"/>
      <protection/>
    </xf>
    <xf numFmtId="4" fontId="12" fillId="10" borderId="13" xfId="0" applyNumberFormat="1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13" fillId="10" borderId="25" xfId="0" applyFont="1" applyFill="1" applyBorder="1" applyAlignment="1" applyProtection="1">
      <alignment horizontal="center" vertical="top" wrapText="1"/>
      <protection/>
    </xf>
    <xf numFmtId="0" fontId="0" fillId="10" borderId="26" xfId="0" applyFill="1" applyBorder="1" applyAlignment="1" applyProtection="1">
      <alignment horizontal="center" wrapText="1"/>
      <protection/>
    </xf>
    <xf numFmtId="0" fontId="0" fillId="10" borderId="27" xfId="0" applyFill="1" applyBorder="1" applyAlignment="1" applyProtection="1">
      <alignment horizontal="center" wrapText="1"/>
      <protection/>
    </xf>
    <xf numFmtId="0" fontId="15" fillId="10" borderId="0" xfId="0" applyFont="1" applyFill="1" applyBorder="1" applyAlignment="1" applyProtection="1">
      <alignment horizontal="left" vertical="top"/>
      <protection/>
    </xf>
    <xf numFmtId="0" fontId="2" fillId="10" borderId="0" xfId="0" applyFont="1" applyFill="1" applyAlignment="1" applyProtection="1">
      <alignment/>
      <protection/>
    </xf>
    <xf numFmtId="0" fontId="20" fillId="0" borderId="25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10" borderId="26" xfId="0" applyFill="1" applyBorder="1" applyAlignment="1" applyProtection="1">
      <alignment/>
      <protection/>
    </xf>
    <xf numFmtId="0" fontId="0" fillId="10" borderId="28" xfId="0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Alignment="1" applyProtection="1">
      <alignment/>
      <protection/>
    </xf>
    <xf numFmtId="0" fontId="13" fillId="10" borderId="26" xfId="0" applyFont="1" applyFill="1" applyBorder="1" applyAlignment="1" applyProtection="1">
      <alignment horizontal="center" vertical="top" wrapText="1"/>
      <protection/>
    </xf>
    <xf numFmtId="0" fontId="13" fillId="10" borderId="28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10" borderId="26" xfId="0" applyFill="1" applyBorder="1" applyAlignment="1">
      <alignment/>
    </xf>
    <xf numFmtId="0" fontId="0" fillId="10" borderId="28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8" fillId="10" borderId="25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13" fillId="0" borderId="0" xfId="0" applyFont="1" applyAlignment="1" applyProtection="1">
      <alignment horizontal="justify" wrapText="1"/>
      <protection/>
    </xf>
    <xf numFmtId="0" fontId="12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 wrapText="1"/>
      <protection locked="0"/>
    </xf>
    <xf numFmtId="0" fontId="20" fillId="0" borderId="0" xfId="0" applyFont="1" applyAlignment="1" applyProtection="1">
      <alignment horizontal="justify" wrapText="1"/>
      <protection/>
    </xf>
    <xf numFmtId="0" fontId="0" fillId="0" borderId="0" xfId="0" applyAlignment="1" applyProtection="1">
      <alignment wrapText="1"/>
      <protection/>
    </xf>
    <xf numFmtId="0" fontId="20" fillId="0" borderId="0" xfId="0" applyFont="1" applyAlignment="1" applyProtection="1">
      <alignment horizontal="justify" wrapText="1"/>
      <protection/>
    </xf>
    <xf numFmtId="0" fontId="0" fillId="0" borderId="0" xfId="0" applyAlignment="1" applyProtection="1">
      <alignment wrapText="1"/>
      <protection/>
    </xf>
    <xf numFmtId="0" fontId="10" fillId="0" borderId="0" xfId="0" applyFont="1" applyAlignment="1" applyProtection="1">
      <alignment horizontal="justify" wrapText="1"/>
      <protection/>
    </xf>
    <xf numFmtId="0" fontId="0" fillId="0" borderId="0" xfId="0" applyBorder="1" applyAlignment="1" applyProtection="1">
      <alignment wrapText="1"/>
      <protection/>
    </xf>
    <xf numFmtId="0" fontId="13" fillId="0" borderId="29" xfId="0" applyFont="1" applyBorder="1" applyAlignment="1" applyProtection="1">
      <alignment vertical="top" wrapText="1"/>
      <protection/>
    </xf>
    <xf numFmtId="0" fontId="20" fillId="0" borderId="29" xfId="0" applyFont="1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 vertical="top" wrapText="1"/>
      <protection/>
    </xf>
    <xf numFmtId="0" fontId="19" fillId="0" borderId="31" xfId="0" applyFont="1" applyBorder="1" applyAlignment="1" applyProtection="1">
      <alignment horizontal="justify" vertical="top" wrapText="1"/>
      <protection/>
    </xf>
    <xf numFmtId="0" fontId="19" fillId="0" borderId="31" xfId="0" applyFont="1" applyBorder="1" applyAlignment="1" applyProtection="1">
      <alignment vertical="top" wrapText="1"/>
      <protection/>
    </xf>
    <xf numFmtId="0" fontId="19" fillId="0" borderId="32" xfId="0" applyFont="1" applyBorder="1" applyAlignment="1" applyProtection="1">
      <alignment vertical="top" wrapText="1"/>
      <protection/>
    </xf>
    <xf numFmtId="0" fontId="19" fillId="0" borderId="33" xfId="0" applyFont="1" applyBorder="1" applyAlignment="1" applyProtection="1">
      <alignment horizontal="justify" vertical="top" wrapText="1"/>
      <protection/>
    </xf>
    <xf numFmtId="0" fontId="19" fillId="0" borderId="33" xfId="0" applyFont="1" applyBorder="1" applyAlignment="1" applyProtection="1">
      <alignment vertical="top" wrapText="1"/>
      <protection/>
    </xf>
    <xf numFmtId="0" fontId="19" fillId="0" borderId="34" xfId="0" applyFont="1" applyBorder="1" applyAlignment="1" applyProtection="1">
      <alignment vertical="top" wrapText="1"/>
      <protection/>
    </xf>
    <xf numFmtId="0" fontId="19" fillId="0" borderId="35" xfId="0" applyFont="1" applyBorder="1" applyAlignment="1" applyProtection="1">
      <alignment horizontal="justify" vertical="top" wrapText="1"/>
      <protection/>
    </xf>
    <xf numFmtId="0" fontId="19" fillId="0" borderId="35" xfId="0" applyFont="1" applyBorder="1" applyAlignment="1" applyProtection="1">
      <alignment vertical="top" wrapText="1"/>
      <protection/>
    </xf>
    <xf numFmtId="0" fontId="10" fillId="0" borderId="0" xfId="0" applyFont="1" applyFill="1" applyAlignment="1" applyProtection="1">
      <alignment horizontal="justify"/>
      <protection/>
    </xf>
    <xf numFmtId="0" fontId="0" fillId="0" borderId="0" xfId="0" applyFont="1" applyFill="1" applyAlignment="1" applyProtection="1">
      <alignment/>
      <protection/>
    </xf>
    <xf numFmtId="169" fontId="0" fillId="0" borderId="0" xfId="68" applyNumberFormat="1" applyFont="1" applyFill="1" applyAlignment="1" applyProtection="1">
      <alignment horizontal="right" vertical="justify"/>
      <protection locked="0"/>
    </xf>
    <xf numFmtId="0" fontId="13" fillId="0" borderId="36" xfId="0" applyFont="1" applyBorder="1" applyAlignment="1" applyProtection="1">
      <alignment vertical="top" wrapText="1"/>
      <protection/>
    </xf>
    <xf numFmtId="0" fontId="20" fillId="0" borderId="31" xfId="0" applyFont="1" applyBorder="1" applyAlignment="1" applyProtection="1">
      <alignment horizontal="left" vertical="top" wrapText="1"/>
      <protection/>
    </xf>
    <xf numFmtId="0" fontId="13" fillId="0" borderId="31" xfId="0" applyFont="1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9" fillId="0" borderId="37" xfId="0" applyFont="1" applyBorder="1" applyAlignment="1" applyProtection="1">
      <alignment vertical="top" wrapText="1"/>
      <protection/>
    </xf>
    <xf numFmtId="0" fontId="19" fillId="0" borderId="38" xfId="0" applyFont="1" applyBorder="1" applyAlignment="1" applyProtection="1">
      <alignment horizontal="justify" vertical="top" wrapText="1"/>
      <protection/>
    </xf>
    <xf numFmtId="0" fontId="19" fillId="0" borderId="38" xfId="0" applyFont="1" applyBorder="1" applyAlignment="1" applyProtection="1">
      <alignment vertical="top" wrapText="1"/>
      <protection/>
    </xf>
    <xf numFmtId="0" fontId="19" fillId="0" borderId="39" xfId="0" applyFont="1" applyBorder="1" applyAlignment="1" applyProtection="1">
      <alignment vertical="top" wrapText="1"/>
      <protection/>
    </xf>
    <xf numFmtId="0" fontId="19" fillId="0" borderId="40" xfId="0" applyFont="1" applyBorder="1" applyAlignment="1" applyProtection="1">
      <alignment horizontal="justify" vertical="top" wrapText="1"/>
      <protection/>
    </xf>
    <xf numFmtId="0" fontId="19" fillId="0" borderId="40" xfId="0" applyFont="1" applyBorder="1" applyAlignment="1" applyProtection="1">
      <alignment vertical="top" wrapText="1"/>
      <protection/>
    </xf>
    <xf numFmtId="0" fontId="20" fillId="0" borderId="41" xfId="0" applyFont="1" applyBorder="1" applyAlignment="1" applyProtection="1">
      <alignment vertical="top" wrapText="1"/>
      <protection/>
    </xf>
    <xf numFmtId="0" fontId="13" fillId="0" borderId="42" xfId="0" applyFont="1" applyBorder="1" applyAlignment="1" applyProtection="1">
      <alignment vertical="top" wrapText="1"/>
      <protection/>
    </xf>
    <xf numFmtId="0" fontId="20" fillId="0" borderId="42" xfId="0" applyFont="1" applyBorder="1" applyAlignment="1" applyProtection="1">
      <alignment vertical="top" wrapText="1"/>
      <protection/>
    </xf>
    <xf numFmtId="0" fontId="3" fillId="0" borderId="42" xfId="51" applyFont="1" applyBorder="1" applyAlignment="1" applyProtection="1">
      <alignment horizontal="center" vertical="top"/>
      <protection/>
    </xf>
    <xf numFmtId="4" fontId="3" fillId="0" borderId="42" xfId="51" applyNumberFormat="1" applyFont="1" applyBorder="1" applyAlignment="1" applyProtection="1">
      <alignment horizontal="center" vertical="top"/>
      <protection/>
    </xf>
    <xf numFmtId="0" fontId="19" fillId="0" borderId="43" xfId="0" applyFont="1" applyBorder="1" applyAlignment="1" applyProtection="1">
      <alignment vertical="top" wrapText="1"/>
      <protection/>
    </xf>
    <xf numFmtId="0" fontId="19" fillId="0" borderId="44" xfId="0" applyFont="1" applyBorder="1" applyAlignment="1" applyProtection="1">
      <alignment vertical="top" wrapText="1"/>
      <protection/>
    </xf>
    <xf numFmtId="0" fontId="19" fillId="0" borderId="45" xfId="0" applyFont="1" applyBorder="1" applyAlignment="1" applyProtection="1">
      <alignment vertical="top" wrapText="1"/>
      <protection/>
    </xf>
    <xf numFmtId="4" fontId="3" fillId="0" borderId="46" xfId="51" applyNumberFormat="1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0" fontId="0" fillId="0" borderId="48" xfId="0" applyFont="1" applyBorder="1" applyAlignment="1" applyProtection="1">
      <alignment wrapText="1"/>
      <protection locked="0"/>
    </xf>
    <xf numFmtId="0" fontId="0" fillId="0" borderId="49" xfId="0" applyBorder="1" applyAlignment="1" applyProtection="1">
      <alignment wrapText="1"/>
      <protection locked="0"/>
    </xf>
    <xf numFmtId="0" fontId="13" fillId="0" borderId="50" xfId="0" applyFont="1" applyBorder="1" applyAlignment="1" applyProtection="1">
      <alignment vertical="top" wrapText="1"/>
      <protection/>
    </xf>
    <xf numFmtId="4" fontId="3" fillId="0" borderId="51" xfId="51" applyNumberFormat="1" applyFont="1" applyBorder="1" applyAlignment="1" applyProtection="1">
      <alignment horizontal="center" vertical="top"/>
      <protection/>
    </xf>
    <xf numFmtId="0" fontId="19" fillId="0" borderId="50" xfId="0" applyFont="1" applyBorder="1" applyAlignment="1" applyProtection="1">
      <alignment vertical="top" wrapText="1"/>
      <protection/>
    </xf>
    <xf numFmtId="0" fontId="19" fillId="0" borderId="52" xfId="0" applyFont="1" applyBorder="1" applyAlignment="1" applyProtection="1">
      <alignment vertical="top" wrapText="1"/>
      <protection/>
    </xf>
    <xf numFmtId="4" fontId="3" fillId="0" borderId="53" xfId="51" applyNumberFormat="1" applyFont="1" applyBorder="1" applyAlignment="1" applyProtection="1">
      <alignment horizontal="center" vertical="top" wrapText="1"/>
      <protection/>
    </xf>
    <xf numFmtId="0" fontId="0" fillId="0" borderId="54" xfId="0" applyFont="1" applyBorder="1" applyAlignment="1" applyProtection="1">
      <alignment wrapText="1"/>
      <protection locked="0"/>
    </xf>
    <xf numFmtId="4" fontId="3" fillId="10" borderId="55" xfId="51" applyNumberFormat="1" applyFont="1" applyFill="1" applyBorder="1" applyAlignment="1" applyProtection="1">
      <alignment horizontal="center" vertical="top" wrapText="1"/>
      <protection locked="0"/>
    </xf>
    <xf numFmtId="4" fontId="3" fillId="10" borderId="56" xfId="51" applyNumberFormat="1" applyFont="1" applyFill="1" applyBorder="1" applyAlignment="1" applyProtection="1">
      <alignment horizontal="center" vertical="top" wrapText="1"/>
      <protection locked="0"/>
    </xf>
    <xf numFmtId="0" fontId="0" fillId="0" borderId="28" xfId="0" applyBorder="1" applyAlignment="1" applyProtection="1">
      <alignment/>
      <protection/>
    </xf>
    <xf numFmtId="0" fontId="0" fillId="10" borderId="0" xfId="0" applyFill="1" applyAlignment="1" applyProtection="1">
      <alignment/>
      <protection/>
    </xf>
    <xf numFmtId="169" fontId="0" fillId="0" borderId="53" xfId="68" applyNumberFormat="1" applyFont="1" applyFill="1" applyBorder="1" applyAlignment="1" applyProtection="1">
      <alignment/>
      <protection/>
    </xf>
    <xf numFmtId="169" fontId="0" fillId="0" borderId="57" xfId="68" applyNumberFormat="1" applyFont="1" applyFill="1" applyBorder="1" applyAlignment="1" applyProtection="1">
      <alignment/>
      <protection/>
    </xf>
    <xf numFmtId="169" fontId="0" fillId="0" borderId="58" xfId="68" applyNumberFormat="1" applyFont="1" applyFill="1" applyBorder="1" applyAlignment="1" applyProtection="1">
      <alignment/>
      <protection/>
    </xf>
    <xf numFmtId="169" fontId="0" fillId="0" borderId="0" xfId="68" applyNumberFormat="1" applyFont="1" applyFill="1" applyAlignment="1" applyProtection="1">
      <alignment horizontal="right" vertical="justify"/>
      <protection/>
    </xf>
    <xf numFmtId="0" fontId="0" fillId="0" borderId="57" xfId="0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0" xfId="68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69" fontId="12" fillId="0" borderId="0" xfId="0" applyNumberFormat="1" applyFont="1" applyAlignment="1" applyProtection="1">
      <alignment/>
      <protection/>
    </xf>
    <xf numFmtId="169" fontId="12" fillId="0" borderId="0" xfId="68" applyNumberFormat="1" applyFont="1" applyAlignment="1" applyProtection="1">
      <alignment/>
      <protection/>
    </xf>
  </cellXfs>
  <cellStyles count="6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uro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2 2" xfId="42"/>
    <cellStyle name="Navadno 2 2 2" xfId="43"/>
    <cellStyle name="Navadno 3" xfId="44"/>
    <cellStyle name="Navadno 3 2" xfId="45"/>
    <cellStyle name="Navadno 3 2 2" xfId="46"/>
    <cellStyle name="Navadno 3 2 3" xfId="47"/>
    <cellStyle name="Navadno 3 3" xfId="48"/>
    <cellStyle name="Navadno 3 3 2" xfId="49"/>
    <cellStyle name="Navadno 3 4" xfId="50"/>
    <cellStyle name="Navadno 4" xfId="51"/>
    <cellStyle name="Nevtralno" xfId="52"/>
    <cellStyle name="Normal_BoQ - cene sit_eur" xfId="53"/>
    <cellStyle name="Percent" xfId="54"/>
    <cellStyle name="Opomba" xfId="55"/>
    <cellStyle name="Opozorilo" xfId="56"/>
    <cellStyle name="Pojasnjevalno besedilo" xfId="57"/>
    <cellStyle name="Poudarek1" xfId="58"/>
    <cellStyle name="Poudarek2" xfId="59"/>
    <cellStyle name="Poudarek3" xfId="60"/>
    <cellStyle name="Poudarek4" xfId="61"/>
    <cellStyle name="Poudarek5" xfId="62"/>
    <cellStyle name="Poudarek6" xfId="63"/>
    <cellStyle name="Povezana celica" xfId="64"/>
    <cellStyle name="Preveri celico" xfId="65"/>
    <cellStyle name="Računanje" xfId="66"/>
    <cellStyle name="Slabo" xfId="67"/>
    <cellStyle name="Currency" xfId="68"/>
    <cellStyle name="Currency [0]" xfId="69"/>
    <cellStyle name="Valuta 2" xfId="70"/>
    <cellStyle name="Comma" xfId="71"/>
    <cellStyle name="Comma [0]" xfId="72"/>
    <cellStyle name="Vnos" xfId="73"/>
    <cellStyle name="Vsota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4">
      <selection activeCell="C17" sqref="C17"/>
    </sheetView>
  </sheetViews>
  <sheetFormatPr defaultColWidth="9.00390625" defaultRowHeight="12.75"/>
  <cols>
    <col min="1" max="1" width="9.125" style="70" customWidth="1"/>
    <col min="2" max="2" width="63.125" style="70" customWidth="1"/>
    <col min="3" max="3" width="13.875" style="70" customWidth="1"/>
  </cols>
  <sheetData>
    <row r="1" spans="1:3" ht="34.5" customHeight="1" thickBot="1">
      <c r="A1" s="323" t="s">
        <v>116</v>
      </c>
      <c r="B1" s="324"/>
      <c r="C1" s="325"/>
    </row>
    <row r="2" spans="1:3" ht="15.75">
      <c r="A2" s="66"/>
      <c r="B2" s="67"/>
      <c r="C2" s="67"/>
    </row>
    <row r="3" spans="1:3" ht="12.75">
      <c r="A3" s="326" t="s">
        <v>66</v>
      </c>
      <c r="B3" s="327"/>
      <c r="C3" s="327"/>
    </row>
    <row r="4" spans="1:3" ht="12.75">
      <c r="A4" s="68"/>
      <c r="B4" s="69"/>
      <c r="C4" s="69"/>
    </row>
    <row r="5" spans="1:3" ht="13.5" thickBot="1">
      <c r="A5" s="68"/>
      <c r="B5" s="69"/>
      <c r="C5" s="69"/>
    </row>
    <row r="6" spans="1:3" ht="15.75" thickBot="1">
      <c r="A6" s="328" t="s">
        <v>108</v>
      </c>
      <c r="B6" s="329"/>
      <c r="C6" s="330"/>
    </row>
    <row r="8" ht="14.25">
      <c r="C8" s="71" t="s">
        <v>109</v>
      </c>
    </row>
    <row r="9" spans="1:3" ht="15">
      <c r="A9" s="109" t="s">
        <v>110</v>
      </c>
      <c r="B9" s="110" t="s">
        <v>133</v>
      </c>
      <c r="C9" s="100">
        <f>'Prezračevanje '!F81</f>
        <v>0</v>
      </c>
    </row>
    <row r="10" spans="1:3" ht="15">
      <c r="A10" s="101"/>
      <c r="B10" s="97"/>
      <c r="C10" s="102"/>
    </row>
    <row r="11" spans="1:3" ht="15.75" customHeight="1">
      <c r="A11" s="103" t="s">
        <v>111</v>
      </c>
      <c r="B11" s="98" t="s">
        <v>119</v>
      </c>
      <c r="C11" s="100">
        <f>'Voda,Ogrevanje'!F53</f>
        <v>0</v>
      </c>
    </row>
    <row r="12" spans="1:3" ht="15">
      <c r="A12" s="101"/>
      <c r="B12" s="97"/>
      <c r="C12" s="102"/>
    </row>
    <row r="13" spans="1:3" ht="15">
      <c r="A13" s="111" t="s">
        <v>112</v>
      </c>
      <c r="B13" s="112" t="s">
        <v>93</v>
      </c>
      <c r="C13" s="100">
        <f>'Voda,Ogrevanje'!F102</f>
        <v>0</v>
      </c>
    </row>
    <row r="14" spans="1:3" ht="15">
      <c r="A14" s="104"/>
      <c r="B14" s="99"/>
      <c r="C14" s="100"/>
    </row>
    <row r="15" spans="1:3" ht="15">
      <c r="A15" s="104" t="s">
        <v>118</v>
      </c>
      <c r="B15" s="99" t="s">
        <v>132</v>
      </c>
      <c r="C15" s="100">
        <f>'Termostatski ventili'!F33</f>
        <v>0</v>
      </c>
    </row>
    <row r="16" spans="1:3" ht="15">
      <c r="A16" s="105"/>
      <c r="B16" s="97"/>
      <c r="C16" s="102"/>
    </row>
    <row r="17" spans="1:3" ht="15">
      <c r="A17" s="104" t="s">
        <v>131</v>
      </c>
      <c r="B17" s="97" t="s">
        <v>232</v>
      </c>
      <c r="C17" s="100">
        <f>'Elekto napeljave'!G75</f>
        <v>0</v>
      </c>
    </row>
    <row r="18" spans="1:3" ht="15">
      <c r="A18" s="105"/>
      <c r="B18" s="97"/>
      <c r="C18" s="102"/>
    </row>
    <row r="19" spans="1:3" ht="15.75">
      <c r="A19" s="105"/>
      <c r="B19" s="315" t="s">
        <v>113</v>
      </c>
      <c r="C19" s="292">
        <f>SUM(C9:C17)</f>
        <v>0</v>
      </c>
    </row>
    <row r="20" spans="1:3" ht="15">
      <c r="A20" s="105"/>
      <c r="B20" s="99"/>
      <c r="C20" s="100"/>
    </row>
    <row r="21" spans="1:3" ht="15">
      <c r="A21" s="105"/>
      <c r="B21" s="99" t="s">
        <v>171</v>
      </c>
      <c r="C21" s="100">
        <f>C19*0.01</f>
        <v>0</v>
      </c>
    </row>
    <row r="22" spans="1:3" ht="15">
      <c r="A22" s="105"/>
      <c r="B22" s="99" t="s">
        <v>172</v>
      </c>
      <c r="C22" s="100">
        <f>C19*0.02</f>
        <v>0</v>
      </c>
    </row>
    <row r="23" spans="1:3" ht="15">
      <c r="A23" s="105"/>
      <c r="B23" s="97"/>
      <c r="C23" s="102"/>
    </row>
    <row r="24" spans="1:3" ht="15.75">
      <c r="A24" s="105"/>
      <c r="B24" s="291" t="s">
        <v>166</v>
      </c>
      <c r="C24" s="292">
        <f>C19+C21+C22</f>
        <v>0</v>
      </c>
    </row>
    <row r="25" spans="1:3" ht="15.75">
      <c r="A25" s="105"/>
      <c r="B25" s="291"/>
      <c r="C25" s="293"/>
    </row>
    <row r="26" spans="1:3" ht="15.75">
      <c r="A26" s="106"/>
      <c r="B26" s="291" t="s">
        <v>114</v>
      </c>
      <c r="C26" s="292">
        <f>C24*0.2</f>
        <v>0</v>
      </c>
    </row>
    <row r="27" spans="1:3" ht="15.75">
      <c r="A27" s="105"/>
      <c r="B27" s="291"/>
      <c r="C27" s="293"/>
    </row>
    <row r="28" spans="1:3" ht="15.75">
      <c r="A28" s="107"/>
      <c r="B28" s="294" t="s">
        <v>115</v>
      </c>
      <c r="C28" s="295">
        <f>C24*1.2</f>
        <v>0</v>
      </c>
    </row>
    <row r="29" spans="1:2" ht="14.25">
      <c r="A29" s="72"/>
      <c r="B29" s="72"/>
    </row>
  </sheetData>
  <sheetProtection password="C1C7" sheet="1"/>
  <mergeCells count="3">
    <mergeCell ref="A1:C1"/>
    <mergeCell ref="A3:C3"/>
    <mergeCell ref="A6:C6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2"/>
  <headerFooter>
    <oddHeader>&amp;L&amp;G&amp;C&amp;G&amp;R&amp;G</oddHeader>
  </headerFooter>
  <customProperties>
    <customPr name="DVSECTIONID" r:id="rId3"/>
  </customPropertie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B27" sqref="B27"/>
    </sheetView>
  </sheetViews>
  <sheetFormatPr defaultColWidth="9.00390625" defaultRowHeight="12.75"/>
  <cols>
    <col min="1" max="1" width="8.125" style="284" customWidth="1"/>
    <col min="2" max="2" width="44.25390625" style="1" customWidth="1"/>
    <col min="3" max="3" width="6.75390625" style="1" customWidth="1"/>
    <col min="4" max="4" width="10.00390625" style="1" customWidth="1"/>
    <col min="5" max="5" width="10.00390625" style="10" customWidth="1"/>
    <col min="6" max="6" width="10.00390625" style="1" customWidth="1"/>
  </cols>
  <sheetData>
    <row r="1" spans="1:6" ht="32.25" customHeight="1" thickBot="1">
      <c r="A1" s="323" t="s">
        <v>116</v>
      </c>
      <c r="B1" s="324"/>
      <c r="C1" s="324"/>
      <c r="D1" s="331"/>
      <c r="E1" s="331"/>
      <c r="F1" s="332"/>
    </row>
    <row r="2" spans="1:6" ht="17.25" customHeight="1">
      <c r="A2" s="66"/>
      <c r="B2" s="289"/>
      <c r="C2" s="289"/>
      <c r="D2" s="290"/>
      <c r="E2" s="290"/>
      <c r="F2" s="290"/>
    </row>
    <row r="3" spans="1:6" ht="12.75">
      <c r="A3" s="326" t="s">
        <v>66</v>
      </c>
      <c r="B3" s="327"/>
      <c r="C3" s="327"/>
      <c r="D3" s="326"/>
      <c r="E3" s="327"/>
      <c r="F3" s="327"/>
    </row>
    <row r="4" spans="1:6" ht="26.25" customHeight="1">
      <c r="A4" s="333" t="s">
        <v>117</v>
      </c>
      <c r="B4" s="334"/>
      <c r="C4" s="334"/>
      <c r="D4" s="334"/>
      <c r="E4" s="334"/>
      <c r="F4" s="334"/>
    </row>
    <row r="5" spans="1:6" ht="12.75">
      <c r="A5" s="274"/>
      <c r="B5" s="19"/>
      <c r="C5" s="20"/>
      <c r="D5" s="21"/>
      <c r="E5" s="11"/>
      <c r="F5" s="21"/>
    </row>
    <row r="6" spans="1:6" ht="36">
      <c r="A6" s="275" t="s">
        <v>46</v>
      </c>
      <c r="B6" s="22" t="s">
        <v>9</v>
      </c>
      <c r="C6" s="23" t="s">
        <v>4</v>
      </c>
      <c r="D6" s="192" t="s">
        <v>5</v>
      </c>
      <c r="E6" s="199" t="s">
        <v>10</v>
      </c>
      <c r="F6" s="193" t="s">
        <v>6</v>
      </c>
    </row>
    <row r="7" spans="1:6" ht="12.75">
      <c r="A7" s="276"/>
      <c r="B7" s="75"/>
      <c r="C7" s="76"/>
      <c r="D7" s="77"/>
      <c r="E7" s="253"/>
      <c r="F7" s="77"/>
    </row>
    <row r="8" spans="1:6" ht="18">
      <c r="A8" s="12"/>
      <c r="B8" s="201" t="s">
        <v>38</v>
      </c>
      <c r="C8" s="28"/>
      <c r="D8" s="178"/>
      <c r="E8" s="188"/>
      <c r="F8" s="179"/>
    </row>
    <row r="9" spans="1:6" ht="15.75">
      <c r="A9" s="277"/>
      <c r="B9" s="29"/>
      <c r="C9" s="30"/>
      <c r="D9" s="31"/>
      <c r="E9" s="189"/>
      <c r="F9" s="79"/>
    </row>
    <row r="10" spans="1:6" ht="15.75">
      <c r="A10" s="254" t="s">
        <v>110</v>
      </c>
      <c r="B10" s="255" t="s">
        <v>39</v>
      </c>
      <c r="C10" s="32"/>
      <c r="D10" s="33"/>
      <c r="E10" s="194"/>
      <c r="F10" s="83"/>
    </row>
    <row r="11" spans="1:6" ht="18">
      <c r="A11" s="256"/>
      <c r="B11" s="257"/>
      <c r="C11" s="258"/>
      <c r="D11" s="258"/>
      <c r="E11" s="84"/>
      <c r="F11" s="113"/>
    </row>
    <row r="12" spans="1:6" ht="51">
      <c r="A12" s="278"/>
      <c r="B12" s="52" t="s">
        <v>140</v>
      </c>
      <c r="C12" s="41"/>
      <c r="D12" s="42"/>
      <c r="E12" s="169"/>
      <c r="F12" s="80"/>
    </row>
    <row r="13" spans="1:6" ht="12.75">
      <c r="A13" s="279"/>
      <c r="B13" s="43"/>
      <c r="C13" s="44"/>
      <c r="D13" s="46"/>
      <c r="E13" s="170"/>
      <c r="F13" s="81"/>
    </row>
    <row r="14" spans="1:6" ht="38.25">
      <c r="A14" s="5" t="s">
        <v>24</v>
      </c>
      <c r="B14" s="3" t="s">
        <v>145</v>
      </c>
      <c r="C14" s="45"/>
      <c r="D14" s="259"/>
      <c r="E14" s="171"/>
      <c r="F14" s="82"/>
    </row>
    <row r="15" spans="1:6" ht="12.75">
      <c r="A15" s="5"/>
      <c r="B15" s="3" t="s">
        <v>50</v>
      </c>
      <c r="C15" s="6" t="s">
        <v>0</v>
      </c>
      <c r="D15" s="47">
        <v>2</v>
      </c>
      <c r="E15" s="285"/>
      <c r="F15" s="9">
        <f>D15*E15</f>
        <v>0</v>
      </c>
    </row>
    <row r="16" spans="1:6" ht="12.75">
      <c r="A16" s="5"/>
      <c r="B16" s="3" t="s">
        <v>51</v>
      </c>
      <c r="C16" s="6" t="s">
        <v>0</v>
      </c>
      <c r="D16" s="47">
        <v>2</v>
      </c>
      <c r="E16" s="285"/>
      <c r="F16" s="9">
        <f>D16*E16</f>
        <v>0</v>
      </c>
    </row>
    <row r="17" spans="1:6" ht="12.75">
      <c r="A17" s="5"/>
      <c r="B17" s="3" t="s">
        <v>52</v>
      </c>
      <c r="C17" s="6" t="s">
        <v>0</v>
      </c>
      <c r="D17" s="47">
        <v>2</v>
      </c>
      <c r="E17" s="285"/>
      <c r="F17" s="9">
        <f>D17*E17</f>
        <v>0</v>
      </c>
    </row>
    <row r="18" spans="1:6" ht="12.75">
      <c r="A18" s="5"/>
      <c r="B18" s="3" t="s">
        <v>48</v>
      </c>
      <c r="C18" s="6" t="s">
        <v>0</v>
      </c>
      <c r="D18" s="47">
        <v>1</v>
      </c>
      <c r="E18" s="285"/>
      <c r="F18" s="9">
        <f>D18*E18</f>
        <v>0</v>
      </c>
    </row>
    <row r="19" spans="1:6" ht="12.75">
      <c r="A19" s="5"/>
      <c r="B19" s="3"/>
      <c r="C19" s="6"/>
      <c r="D19" s="47"/>
      <c r="E19" s="285"/>
      <c r="F19" s="9"/>
    </row>
    <row r="20" spans="1:6" ht="63.75">
      <c r="A20" s="5" t="s">
        <v>25</v>
      </c>
      <c r="B20" s="3" t="s">
        <v>144</v>
      </c>
      <c r="C20" s="6"/>
      <c r="D20" s="47"/>
      <c r="E20" s="285"/>
      <c r="F20" s="9"/>
    </row>
    <row r="21" spans="1:6" ht="12.75">
      <c r="A21" s="5"/>
      <c r="B21" s="3" t="s">
        <v>40</v>
      </c>
      <c r="C21" s="6" t="s">
        <v>0</v>
      </c>
      <c r="D21" s="47">
        <v>7</v>
      </c>
      <c r="E21" s="285"/>
      <c r="F21" s="9">
        <f>D21*E21</f>
        <v>0</v>
      </c>
    </row>
    <row r="22" spans="1:6" ht="12.75">
      <c r="A22" s="5"/>
      <c r="B22" s="3" t="s">
        <v>57</v>
      </c>
      <c r="C22" s="6" t="s">
        <v>0</v>
      </c>
      <c r="D22" s="47">
        <v>6</v>
      </c>
      <c r="E22" s="285"/>
      <c r="F22" s="9">
        <f>D22*E22</f>
        <v>0</v>
      </c>
    </row>
    <row r="23" spans="1:6" ht="12.75">
      <c r="A23" s="5"/>
      <c r="B23" s="3" t="s">
        <v>58</v>
      </c>
      <c r="C23" s="6" t="s">
        <v>0</v>
      </c>
      <c r="D23" s="47">
        <v>6</v>
      </c>
      <c r="E23" s="285"/>
      <c r="F23" s="9">
        <f>D23*E23</f>
        <v>0</v>
      </c>
    </row>
    <row r="24" spans="1:6" ht="12.75">
      <c r="A24" s="5"/>
      <c r="B24" s="3" t="s">
        <v>59</v>
      </c>
      <c r="C24" s="6" t="s">
        <v>0</v>
      </c>
      <c r="D24" s="47">
        <v>7</v>
      </c>
      <c r="E24" s="285"/>
      <c r="F24" s="9">
        <f>D24*E24</f>
        <v>0</v>
      </c>
    </row>
    <row r="25" spans="1:6" ht="12.75">
      <c r="A25" s="5"/>
      <c r="B25" s="3"/>
      <c r="C25" s="6"/>
      <c r="D25" s="47"/>
      <c r="E25" s="285"/>
      <c r="F25" s="9"/>
    </row>
    <row r="26" spans="1:6" ht="51">
      <c r="A26" s="5" t="s">
        <v>26</v>
      </c>
      <c r="B26" s="3" t="s">
        <v>146</v>
      </c>
      <c r="C26" s="6"/>
      <c r="D26" s="47"/>
      <c r="E26" s="285"/>
      <c r="F26" s="9"/>
    </row>
    <row r="27" spans="1:6" ht="12.75">
      <c r="A27" s="5"/>
      <c r="B27" s="3" t="s">
        <v>60</v>
      </c>
      <c r="C27" s="6" t="s">
        <v>0</v>
      </c>
      <c r="D27" s="47">
        <v>63</v>
      </c>
      <c r="E27" s="285"/>
      <c r="F27" s="9">
        <f>D27*E27</f>
        <v>0</v>
      </c>
    </row>
    <row r="28" spans="1:6" ht="12.75">
      <c r="A28" s="5"/>
      <c r="B28" s="3" t="s">
        <v>61</v>
      </c>
      <c r="C28" s="6" t="s">
        <v>0</v>
      </c>
      <c r="D28" s="47">
        <v>63</v>
      </c>
      <c r="E28" s="285"/>
      <c r="F28" s="9">
        <f>D28*E28</f>
        <v>0</v>
      </c>
    </row>
    <row r="29" spans="1:6" ht="12.75">
      <c r="A29" s="5"/>
      <c r="B29" s="3"/>
      <c r="C29" s="6"/>
      <c r="D29" s="47"/>
      <c r="E29" s="285"/>
      <c r="F29" s="9"/>
    </row>
    <row r="30" spans="1:10" ht="216.75">
      <c r="A30" s="280" t="s">
        <v>27</v>
      </c>
      <c r="B30" s="7" t="s">
        <v>141</v>
      </c>
      <c r="C30" s="260" t="s">
        <v>0</v>
      </c>
      <c r="D30" s="261">
        <v>6</v>
      </c>
      <c r="E30" s="85"/>
      <c r="F30" s="9">
        <f>D30*E30</f>
        <v>0</v>
      </c>
      <c r="H30" s="288"/>
      <c r="I30" s="288"/>
      <c r="J30" s="288"/>
    </row>
    <row r="31" spans="1:6" ht="12.75">
      <c r="A31" s="5"/>
      <c r="B31" s="3"/>
      <c r="C31" s="6"/>
      <c r="D31" s="47"/>
      <c r="E31" s="285"/>
      <c r="F31" s="9"/>
    </row>
    <row r="32" spans="1:10" ht="229.5">
      <c r="A32" s="280" t="s">
        <v>28</v>
      </c>
      <c r="B32" s="7" t="s">
        <v>142</v>
      </c>
      <c r="C32" s="260" t="s">
        <v>0</v>
      </c>
      <c r="D32" s="261">
        <v>1</v>
      </c>
      <c r="E32" s="85"/>
      <c r="F32" s="9">
        <f>D32*E32</f>
        <v>0</v>
      </c>
      <c r="I32" s="288"/>
      <c r="J32" s="288"/>
    </row>
    <row r="33" spans="1:6" ht="12.75">
      <c r="A33" s="5"/>
      <c r="B33" s="3"/>
      <c r="C33" s="6"/>
      <c r="D33" s="47"/>
      <c r="E33" s="285"/>
      <c r="F33" s="9"/>
    </row>
    <row r="34" spans="1:6" ht="242.25">
      <c r="A34" s="280" t="s">
        <v>29</v>
      </c>
      <c r="B34" s="7" t="s">
        <v>120</v>
      </c>
      <c r="C34" s="260" t="s">
        <v>0</v>
      </c>
      <c r="D34" s="261">
        <v>1</v>
      </c>
      <c r="E34" s="85"/>
      <c r="F34" s="9">
        <f>D34*E34</f>
        <v>0</v>
      </c>
    </row>
    <row r="35" spans="1:6" ht="12.75">
      <c r="A35" s="5"/>
      <c r="B35" s="3"/>
      <c r="C35" s="6"/>
      <c r="D35" s="47"/>
      <c r="E35" s="285"/>
      <c r="F35" s="9"/>
    </row>
    <row r="36" spans="1:6" ht="114.75">
      <c r="A36" s="280" t="s">
        <v>34</v>
      </c>
      <c r="B36" s="7" t="s">
        <v>54</v>
      </c>
      <c r="C36" s="260" t="s">
        <v>0</v>
      </c>
      <c r="D36" s="261">
        <v>14</v>
      </c>
      <c r="E36" s="85"/>
      <c r="F36" s="9">
        <f>D36*E36</f>
        <v>0</v>
      </c>
    </row>
    <row r="37" spans="1:6" ht="12.75">
      <c r="A37" s="5"/>
      <c r="B37" s="3"/>
      <c r="C37" s="6"/>
      <c r="D37" s="47"/>
      <c r="E37" s="285"/>
      <c r="F37" s="9"/>
    </row>
    <row r="38" spans="1:6" ht="165.75">
      <c r="A38" s="280" t="s">
        <v>35</v>
      </c>
      <c r="B38" s="7" t="s">
        <v>134</v>
      </c>
      <c r="C38" s="260" t="s">
        <v>0</v>
      </c>
      <c r="D38" s="261">
        <v>3</v>
      </c>
      <c r="E38" s="85"/>
      <c r="F38" s="9">
        <f aca="true" t="shared" si="0" ref="F38:F44">D38*E38</f>
        <v>0</v>
      </c>
    </row>
    <row r="39" spans="1:6" ht="12.75">
      <c r="A39" s="5"/>
      <c r="B39" s="3"/>
      <c r="C39" s="6"/>
      <c r="D39" s="47"/>
      <c r="E39" s="285"/>
      <c r="F39" s="9"/>
    </row>
    <row r="40" spans="1:6" ht="140.25">
      <c r="A40" s="5" t="s">
        <v>36</v>
      </c>
      <c r="B40" s="56" t="s">
        <v>143</v>
      </c>
      <c r="C40" s="6" t="s">
        <v>0</v>
      </c>
      <c r="D40" s="262">
        <v>12</v>
      </c>
      <c r="E40" s="285"/>
      <c r="F40" s="9">
        <f t="shared" si="0"/>
        <v>0</v>
      </c>
    </row>
    <row r="41" spans="1:6" ht="12.75">
      <c r="A41" s="5"/>
      <c r="B41" s="3"/>
      <c r="C41" s="6"/>
      <c r="D41" s="47"/>
      <c r="E41" s="285"/>
      <c r="F41" s="9"/>
    </row>
    <row r="42" spans="1:6" ht="63.75">
      <c r="A42" s="281" t="s">
        <v>12</v>
      </c>
      <c r="B42" s="263" t="s">
        <v>147</v>
      </c>
      <c r="C42" s="260"/>
      <c r="D42" s="261"/>
      <c r="E42" s="85"/>
      <c r="F42" s="9"/>
    </row>
    <row r="43" spans="1:6" ht="12.75">
      <c r="A43" s="281"/>
      <c r="B43" s="7" t="s">
        <v>64</v>
      </c>
      <c r="C43" s="55" t="s">
        <v>0</v>
      </c>
      <c r="D43" s="47">
        <v>8</v>
      </c>
      <c r="E43" s="285"/>
      <c r="F43" s="9">
        <f t="shared" si="0"/>
        <v>0</v>
      </c>
    </row>
    <row r="44" spans="1:6" ht="12.75">
      <c r="A44" s="281"/>
      <c r="B44" s="7" t="s">
        <v>65</v>
      </c>
      <c r="C44" s="55" t="s">
        <v>0</v>
      </c>
      <c r="D44" s="47">
        <v>4</v>
      </c>
      <c r="E44" s="285"/>
      <c r="F44" s="9">
        <f t="shared" si="0"/>
        <v>0</v>
      </c>
    </row>
    <row r="45" spans="1:6" ht="12.75">
      <c r="A45" s="273"/>
      <c r="B45" s="3"/>
      <c r="C45" s="6"/>
      <c r="D45" s="47"/>
      <c r="E45" s="285"/>
      <c r="F45" s="9"/>
    </row>
    <row r="46" spans="1:6" ht="64.5" customHeight="1">
      <c r="A46" s="281" t="s">
        <v>13</v>
      </c>
      <c r="B46" s="263" t="s">
        <v>148</v>
      </c>
      <c r="C46" s="260"/>
      <c r="D46" s="261"/>
      <c r="E46" s="85"/>
      <c r="F46" s="9"/>
    </row>
    <row r="47" spans="1:6" ht="12.75">
      <c r="A47" s="281"/>
      <c r="B47" s="263" t="s">
        <v>49</v>
      </c>
      <c r="C47" s="260" t="s">
        <v>0</v>
      </c>
      <c r="D47" s="261">
        <v>12</v>
      </c>
      <c r="E47" s="85"/>
      <c r="F47" s="9">
        <f>D47*E47</f>
        <v>0</v>
      </c>
    </row>
    <row r="48" spans="1:6" ht="12.75">
      <c r="A48" s="281"/>
      <c r="B48" s="263"/>
      <c r="C48" s="260"/>
      <c r="D48" s="261"/>
      <c r="E48" s="85"/>
      <c r="F48" s="264"/>
    </row>
    <row r="49" spans="1:6" ht="76.5">
      <c r="A49" s="281" t="s">
        <v>37</v>
      </c>
      <c r="B49" s="263" t="s">
        <v>53</v>
      </c>
      <c r="C49" s="260"/>
      <c r="D49" s="261"/>
      <c r="E49" s="85"/>
      <c r="F49" s="264"/>
    </row>
    <row r="50" spans="1:6" ht="12.75">
      <c r="A50" s="281"/>
      <c r="B50" s="263">
        <v>160</v>
      </c>
      <c r="C50" s="260" t="s">
        <v>0</v>
      </c>
      <c r="D50" s="261">
        <v>4</v>
      </c>
      <c r="E50" s="85"/>
      <c r="F50" s="9">
        <f>D50*E50</f>
        <v>0</v>
      </c>
    </row>
    <row r="51" spans="1:6" ht="12.75">
      <c r="A51" s="281"/>
      <c r="B51" s="53"/>
      <c r="C51" s="8"/>
      <c r="D51" s="48"/>
      <c r="E51" s="285"/>
      <c r="F51" s="9"/>
    </row>
    <row r="52" spans="1:6" ht="95.25" customHeight="1">
      <c r="A52" s="5" t="s">
        <v>14</v>
      </c>
      <c r="B52" s="3" t="s">
        <v>56</v>
      </c>
      <c r="C52" s="6"/>
      <c r="D52" s="47"/>
      <c r="E52" s="285"/>
      <c r="F52" s="9"/>
    </row>
    <row r="53" spans="1:6" ht="12.75">
      <c r="A53" s="281"/>
      <c r="B53" s="53" t="s">
        <v>55</v>
      </c>
      <c r="C53" s="8" t="s">
        <v>1</v>
      </c>
      <c r="D53" s="48">
        <v>10</v>
      </c>
      <c r="E53" s="285"/>
      <c r="F53" s="9">
        <f aca="true" t="shared" si="1" ref="F53:F59">D53*E53</f>
        <v>0</v>
      </c>
    </row>
    <row r="54" spans="1:6" ht="12.75">
      <c r="A54" s="281"/>
      <c r="B54" s="53"/>
      <c r="C54" s="8"/>
      <c r="D54" s="48"/>
      <c r="E54" s="285"/>
      <c r="F54" s="9"/>
    </row>
    <row r="55" spans="1:6" ht="102">
      <c r="A55" s="5" t="s">
        <v>15</v>
      </c>
      <c r="B55" s="3" t="s">
        <v>149</v>
      </c>
      <c r="C55" s="6" t="s">
        <v>21</v>
      </c>
      <c r="D55" s="47">
        <v>3600</v>
      </c>
      <c r="E55" s="285"/>
      <c r="F55" s="9">
        <f t="shared" si="1"/>
        <v>0</v>
      </c>
    </row>
    <row r="56" spans="1:6" ht="12.75">
      <c r="A56" s="5"/>
      <c r="B56" s="3"/>
      <c r="C56" s="6"/>
      <c r="D56" s="49"/>
      <c r="E56" s="285"/>
      <c r="F56" s="9"/>
    </row>
    <row r="57" spans="1:6" ht="89.25">
      <c r="A57" s="5" t="s">
        <v>11</v>
      </c>
      <c r="B57" s="3" t="s">
        <v>150</v>
      </c>
      <c r="C57" s="6" t="s">
        <v>1</v>
      </c>
      <c r="D57" s="47">
        <v>11</v>
      </c>
      <c r="E57" s="285"/>
      <c r="F57" s="9">
        <f t="shared" si="1"/>
        <v>0</v>
      </c>
    </row>
    <row r="58" spans="1:6" ht="12.75">
      <c r="A58" s="5"/>
      <c r="B58" s="3"/>
      <c r="C58" s="6"/>
      <c r="D58" s="49"/>
      <c r="E58" s="285"/>
      <c r="F58" s="9"/>
    </row>
    <row r="59" spans="1:6" ht="63.75">
      <c r="A59" s="5" t="s">
        <v>30</v>
      </c>
      <c r="B59" s="3" t="s">
        <v>151</v>
      </c>
      <c r="C59" s="6" t="s">
        <v>1</v>
      </c>
      <c r="D59" s="47">
        <v>5.5</v>
      </c>
      <c r="E59" s="285"/>
      <c r="F59" s="9">
        <f t="shared" si="1"/>
        <v>0</v>
      </c>
    </row>
    <row r="60" spans="1:6" ht="12.75">
      <c r="A60" s="5"/>
      <c r="B60" s="3"/>
      <c r="C60" s="6"/>
      <c r="D60" s="49"/>
      <c r="E60" s="285"/>
      <c r="F60" s="9"/>
    </row>
    <row r="61" spans="1:6" ht="38.25">
      <c r="A61" s="5" t="s">
        <v>16</v>
      </c>
      <c r="B61" s="265" t="s">
        <v>41</v>
      </c>
      <c r="C61" s="6" t="s">
        <v>21</v>
      </c>
      <c r="D61" s="47">
        <v>135</v>
      </c>
      <c r="E61" s="285"/>
      <c r="F61" s="9">
        <f>D61*E61</f>
        <v>0</v>
      </c>
    </row>
    <row r="62" spans="1:6" ht="12.75">
      <c r="A62" s="5"/>
      <c r="B62" s="3"/>
      <c r="C62" s="6"/>
      <c r="D62" s="49"/>
      <c r="E62" s="285"/>
      <c r="F62" s="9"/>
    </row>
    <row r="63" spans="1:6" ht="51">
      <c r="A63" s="5" t="s">
        <v>17</v>
      </c>
      <c r="B63" s="3" t="s">
        <v>47</v>
      </c>
      <c r="C63" s="114" t="s">
        <v>42</v>
      </c>
      <c r="D63" s="47">
        <v>156</v>
      </c>
      <c r="E63" s="285"/>
      <c r="F63" s="9">
        <f>D63*E63</f>
        <v>0</v>
      </c>
    </row>
    <row r="64" spans="1:6" ht="12.75">
      <c r="A64" s="5"/>
      <c r="B64" s="3"/>
      <c r="C64" s="6"/>
      <c r="D64" s="49"/>
      <c r="E64" s="285"/>
      <c r="F64" s="9"/>
    </row>
    <row r="65" spans="1:6" ht="38.25">
      <c r="A65" s="5" t="s">
        <v>18</v>
      </c>
      <c r="B65" s="3" t="s">
        <v>152</v>
      </c>
      <c r="C65" s="114" t="s">
        <v>42</v>
      </c>
      <c r="D65" s="47">
        <v>22</v>
      </c>
      <c r="E65" s="285"/>
      <c r="F65" s="9">
        <f>D65*E65</f>
        <v>0</v>
      </c>
    </row>
    <row r="66" spans="1:6" ht="12.75">
      <c r="A66" s="5"/>
      <c r="B66" s="3"/>
      <c r="C66" s="6"/>
      <c r="D66" s="49"/>
      <c r="E66" s="285"/>
      <c r="F66" s="9"/>
    </row>
    <row r="67" spans="1:6" ht="51">
      <c r="A67" s="5" t="s">
        <v>19</v>
      </c>
      <c r="B67" s="3" t="s">
        <v>153</v>
      </c>
      <c r="C67" s="6"/>
      <c r="D67" s="47"/>
      <c r="E67" s="285"/>
      <c r="F67" s="9"/>
    </row>
    <row r="68" spans="1:6" ht="12.75">
      <c r="A68" s="5"/>
      <c r="B68" s="3" t="s">
        <v>62</v>
      </c>
      <c r="C68" s="6" t="s">
        <v>23</v>
      </c>
      <c r="D68" s="47">
        <v>22</v>
      </c>
      <c r="E68" s="285"/>
      <c r="F68" s="9">
        <f>D68*E68</f>
        <v>0</v>
      </c>
    </row>
    <row r="69" spans="1:6" ht="12.75">
      <c r="A69" s="5"/>
      <c r="B69" s="3" t="s">
        <v>63</v>
      </c>
      <c r="C69" s="6" t="s">
        <v>23</v>
      </c>
      <c r="D69" s="47">
        <v>4</v>
      </c>
      <c r="E69" s="285"/>
      <c r="F69" s="9">
        <f>D69*E69</f>
        <v>0</v>
      </c>
    </row>
    <row r="70" spans="1:6" ht="12.75">
      <c r="A70" s="5"/>
      <c r="B70" s="3"/>
      <c r="C70" s="6"/>
      <c r="D70" s="47"/>
      <c r="E70" s="285"/>
      <c r="F70" s="9"/>
    </row>
    <row r="71" spans="1:6" ht="38.25">
      <c r="A71" s="5" t="s">
        <v>135</v>
      </c>
      <c r="B71" s="35" t="s">
        <v>43</v>
      </c>
      <c r="C71" s="36" t="s">
        <v>22</v>
      </c>
      <c r="D71" s="50">
        <v>20</v>
      </c>
      <c r="E71" s="286"/>
      <c r="F71" s="9">
        <f>D71*E71</f>
        <v>0</v>
      </c>
    </row>
    <row r="72" spans="1:6" ht="12.75">
      <c r="A72" s="5"/>
      <c r="B72" s="3"/>
      <c r="C72" s="8"/>
      <c r="D72" s="48"/>
      <c r="E72" s="285"/>
      <c r="F72" s="9"/>
    </row>
    <row r="73" spans="1:6" ht="51">
      <c r="A73" s="5" t="s">
        <v>136</v>
      </c>
      <c r="B73" s="115" t="s">
        <v>44</v>
      </c>
      <c r="C73" s="8" t="s">
        <v>0</v>
      </c>
      <c r="D73" s="48">
        <v>1</v>
      </c>
      <c r="E73" s="285"/>
      <c r="F73" s="9">
        <f>D73*E73</f>
        <v>0</v>
      </c>
    </row>
    <row r="74" spans="1:6" ht="12.75">
      <c r="A74" s="5"/>
      <c r="B74" s="3"/>
      <c r="C74" s="8"/>
      <c r="D74" s="48"/>
      <c r="E74" s="285"/>
      <c r="F74" s="9"/>
    </row>
    <row r="75" spans="1:6" ht="25.5">
      <c r="A75" s="5" t="s">
        <v>137</v>
      </c>
      <c r="B75" s="3" t="s">
        <v>121</v>
      </c>
      <c r="C75" s="8" t="s">
        <v>0</v>
      </c>
      <c r="D75" s="48">
        <v>1</v>
      </c>
      <c r="E75" s="285"/>
      <c r="F75" s="9">
        <f>D75*E75</f>
        <v>0</v>
      </c>
    </row>
    <row r="76" spans="1:6" ht="12.75">
      <c r="A76" s="5"/>
      <c r="B76" s="34"/>
      <c r="C76" s="8"/>
      <c r="D76" s="48"/>
      <c r="E76" s="285"/>
      <c r="F76" s="9"/>
    </row>
    <row r="77" spans="1:6" ht="51">
      <c r="A77" s="5" t="s">
        <v>138</v>
      </c>
      <c r="B77" s="3" t="s">
        <v>33</v>
      </c>
      <c r="C77" s="8" t="s">
        <v>0</v>
      </c>
      <c r="D77" s="48">
        <v>1</v>
      </c>
      <c r="E77" s="285"/>
      <c r="F77" s="9">
        <f>D77*E77</f>
        <v>0</v>
      </c>
    </row>
    <row r="78" spans="1:6" ht="12.75">
      <c r="A78" s="5"/>
      <c r="B78" s="3"/>
      <c r="C78" s="8"/>
      <c r="D78" s="48"/>
      <c r="E78" s="285"/>
      <c r="F78" s="9"/>
    </row>
    <row r="79" spans="1:6" ht="51">
      <c r="A79" s="5" t="s">
        <v>139</v>
      </c>
      <c r="B79" s="3" t="s">
        <v>20</v>
      </c>
      <c r="C79" s="8" t="s">
        <v>0</v>
      </c>
      <c r="D79" s="48">
        <v>1</v>
      </c>
      <c r="E79" s="285"/>
      <c r="F79" s="9">
        <f>D79*E79</f>
        <v>0</v>
      </c>
    </row>
    <row r="80" spans="1:6" ht="12.75">
      <c r="A80" s="5"/>
      <c r="B80" s="3"/>
      <c r="C80" s="8"/>
      <c r="D80" s="51"/>
      <c r="E80" s="287"/>
      <c r="F80" s="9"/>
    </row>
    <row r="81" spans="1:6" ht="15.75">
      <c r="A81" s="300"/>
      <c r="B81" s="296" t="s">
        <v>167</v>
      </c>
      <c r="C81" s="297"/>
      <c r="D81" s="298"/>
      <c r="E81" s="299"/>
      <c r="F81" s="301">
        <f>SUM(F11:F80)</f>
        <v>0</v>
      </c>
    </row>
    <row r="82" spans="1:6" ht="12.75">
      <c r="A82" s="116"/>
      <c r="B82" s="117"/>
      <c r="C82" s="117"/>
      <c r="D82" s="118"/>
      <c r="E82" s="119"/>
      <c r="F82" s="120"/>
    </row>
    <row r="83" spans="1:6" ht="12.75">
      <c r="A83" s="282"/>
      <c r="B83" s="117"/>
      <c r="C83" s="121"/>
      <c r="D83" s="122"/>
      <c r="E83" s="119"/>
      <c r="F83" s="120"/>
    </row>
    <row r="84" spans="1:6" ht="12.75">
      <c r="A84" s="283"/>
      <c r="B84" s="123" t="s">
        <v>3</v>
      </c>
      <c r="C84" s="121"/>
      <c r="D84" s="122"/>
      <c r="E84" s="119"/>
      <c r="F84" s="120"/>
    </row>
    <row r="85" spans="1:6" ht="51">
      <c r="A85" s="283"/>
      <c r="B85" s="266" t="s">
        <v>45</v>
      </c>
      <c r="C85" s="121"/>
      <c r="D85" s="122"/>
      <c r="E85" s="119"/>
      <c r="F85" s="120"/>
    </row>
    <row r="88" ht="12.75">
      <c r="B88" s="54"/>
    </row>
  </sheetData>
  <sheetProtection password="C1C7" sheet="1"/>
  <mergeCells count="4">
    <mergeCell ref="A1:F1"/>
    <mergeCell ref="A3:C3"/>
    <mergeCell ref="D3:F3"/>
    <mergeCell ref="A4:F4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2"/>
  <headerFooter>
    <oddHeader>&amp;L&amp;G&amp;C&amp;G&amp;R&amp;G</oddHeader>
    <oddFooter>&amp;CStran &amp;P od &amp;N</oddFooter>
  </headerFooter>
  <customProperties>
    <customPr name="DVSECTIONID" r:id="rId3"/>
  </customPropertie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E11" sqref="E11"/>
    </sheetView>
  </sheetViews>
  <sheetFormatPr defaultColWidth="9.00390625" defaultRowHeight="12.75"/>
  <cols>
    <col min="1" max="1" width="8.25390625" style="40" customWidth="1"/>
    <col min="2" max="2" width="44.00390625" style="1" customWidth="1"/>
    <col min="3" max="3" width="6.75390625" style="1" customWidth="1"/>
    <col min="4" max="4" width="7.125" style="1" customWidth="1"/>
    <col min="5" max="5" width="11.125" style="10" customWidth="1"/>
    <col min="6" max="6" width="11.125" style="1" customWidth="1"/>
  </cols>
  <sheetData>
    <row r="1" spans="1:6" ht="33" customHeight="1" thickBot="1">
      <c r="A1" s="323" t="s">
        <v>116</v>
      </c>
      <c r="B1" s="335"/>
      <c r="C1" s="335"/>
      <c r="D1" s="335"/>
      <c r="E1" s="335"/>
      <c r="F1" s="336"/>
    </row>
    <row r="2" spans="1:6" ht="12.75">
      <c r="A2" s="326" t="s">
        <v>66</v>
      </c>
      <c r="B2" s="327"/>
      <c r="C2" s="327"/>
      <c r="D2" s="326"/>
      <c r="E2" s="327"/>
      <c r="F2" s="327"/>
    </row>
    <row r="3" spans="1:6" ht="24.75" customHeight="1">
      <c r="A3" s="333" t="s">
        <v>117</v>
      </c>
      <c r="B3" s="334"/>
      <c r="C3" s="334"/>
      <c r="D3" s="334"/>
      <c r="E3" s="334"/>
      <c r="F3" s="334"/>
    </row>
    <row r="4" spans="1:6" ht="12.75">
      <c r="A4" s="37"/>
      <c r="B4" s="19"/>
      <c r="C4" s="20"/>
      <c r="D4" s="21"/>
      <c r="E4" s="11"/>
      <c r="F4" s="21"/>
    </row>
    <row r="5" spans="1:6" ht="36">
      <c r="A5" s="38" t="s">
        <v>46</v>
      </c>
      <c r="B5" s="22" t="s">
        <v>9</v>
      </c>
      <c r="C5" s="23" t="s">
        <v>4</v>
      </c>
      <c r="D5" s="24" t="s">
        <v>5</v>
      </c>
      <c r="E5" s="108" t="s">
        <v>10</v>
      </c>
      <c r="F5" s="73" t="s">
        <v>6</v>
      </c>
    </row>
    <row r="6" spans="1:6" ht="12.75">
      <c r="A6" s="39"/>
      <c r="B6" s="25"/>
      <c r="C6" s="26"/>
      <c r="D6" s="27"/>
      <c r="E6" s="88"/>
      <c r="F6" s="86"/>
    </row>
    <row r="7" spans="1:6" ht="18">
      <c r="A7" s="12"/>
      <c r="B7" s="57" t="s">
        <v>66</v>
      </c>
      <c r="C7" s="13"/>
      <c r="D7" s="14"/>
      <c r="E7" s="89"/>
      <c r="F7" s="87"/>
    </row>
    <row r="8" spans="1:6" ht="15.75">
      <c r="A8" s="15"/>
      <c r="B8" s="16"/>
      <c r="C8" s="17"/>
      <c r="D8" s="18"/>
      <c r="E8" s="90"/>
      <c r="F8" s="17"/>
    </row>
    <row r="9" spans="1:6" ht="30">
      <c r="A9" s="58" t="s">
        <v>111</v>
      </c>
      <c r="B9" s="59" t="s">
        <v>67</v>
      </c>
      <c r="C9" s="124"/>
      <c r="D9" s="124"/>
      <c r="E9" s="125"/>
      <c r="F9" s="126"/>
    </row>
    <row r="10" spans="1:6" ht="12.75">
      <c r="A10" s="127"/>
      <c r="B10" s="128"/>
      <c r="C10" s="129"/>
      <c r="D10" s="129"/>
      <c r="E10" s="217"/>
      <c r="F10" s="130"/>
    </row>
    <row r="11" spans="1:6" ht="25.5">
      <c r="A11" s="45" t="s">
        <v>24</v>
      </c>
      <c r="B11" s="218" t="s">
        <v>68</v>
      </c>
      <c r="C11" s="219" t="s">
        <v>0</v>
      </c>
      <c r="D11" s="114">
        <v>1</v>
      </c>
      <c r="E11" s="198"/>
      <c r="F11" s="220">
        <f>D11*E11</f>
        <v>0</v>
      </c>
    </row>
    <row r="12" spans="1:6" ht="12.75">
      <c r="A12" s="131"/>
      <c r="B12" s="221"/>
      <c r="C12" s="65"/>
      <c r="D12" s="65"/>
      <c r="E12" s="249"/>
      <c r="F12" s="136"/>
    </row>
    <row r="13" spans="1:6" ht="63.75">
      <c r="A13" s="45" t="s">
        <v>25</v>
      </c>
      <c r="B13" s="218" t="s">
        <v>154</v>
      </c>
      <c r="C13" s="219"/>
      <c r="D13" s="114"/>
      <c r="E13" s="198"/>
      <c r="F13" s="220"/>
    </row>
    <row r="14" spans="1:6" ht="12.75">
      <c r="A14" s="45"/>
      <c r="B14" s="218" t="s">
        <v>69</v>
      </c>
      <c r="C14" s="219" t="s">
        <v>0</v>
      </c>
      <c r="D14" s="114">
        <v>17</v>
      </c>
      <c r="E14" s="198"/>
      <c r="F14" s="220">
        <f>D14*E14</f>
        <v>0</v>
      </c>
    </row>
    <row r="15" spans="1:6" ht="12.75">
      <c r="A15" s="45"/>
      <c r="B15" s="218"/>
      <c r="C15" s="219"/>
      <c r="D15" s="114"/>
      <c r="E15" s="198"/>
      <c r="F15" s="220"/>
    </row>
    <row r="16" spans="1:6" ht="25.5">
      <c r="A16" s="45" t="s">
        <v>26</v>
      </c>
      <c r="B16" s="132" t="s">
        <v>70</v>
      </c>
      <c r="C16" s="222"/>
      <c r="D16" s="6"/>
      <c r="E16" s="250"/>
      <c r="F16" s="223"/>
    </row>
    <row r="17" spans="1:6" ht="12.75">
      <c r="A17" s="133"/>
      <c r="B17" s="132" t="s">
        <v>8</v>
      </c>
      <c r="C17" s="219" t="s">
        <v>2</v>
      </c>
      <c r="D17" s="114">
        <v>2</v>
      </c>
      <c r="E17" s="198"/>
      <c r="F17" s="220">
        <f>D17*E17</f>
        <v>0</v>
      </c>
    </row>
    <row r="18" spans="1:6" ht="12.75">
      <c r="A18" s="133"/>
      <c r="B18" s="132" t="s">
        <v>7</v>
      </c>
      <c r="C18" s="219" t="s">
        <v>2</v>
      </c>
      <c r="D18" s="114">
        <v>1</v>
      </c>
      <c r="E18" s="198"/>
      <c r="F18" s="220">
        <f>D18*E18</f>
        <v>0</v>
      </c>
    </row>
    <row r="19" spans="1:6" ht="12.75">
      <c r="A19" s="224"/>
      <c r="B19" s="134"/>
      <c r="C19" s="225"/>
      <c r="D19" s="135"/>
      <c r="E19" s="251"/>
      <c r="F19" s="226"/>
    </row>
    <row r="20" spans="1:6" ht="76.5">
      <c r="A20" s="45" t="s">
        <v>27</v>
      </c>
      <c r="B20" s="132" t="s">
        <v>71</v>
      </c>
      <c r="C20" s="60"/>
      <c r="D20" s="61"/>
      <c r="E20" s="252"/>
      <c r="F20" s="227"/>
    </row>
    <row r="21" spans="1:6" ht="12.75">
      <c r="A21" s="45"/>
      <c r="B21" s="132" t="s">
        <v>72</v>
      </c>
      <c r="C21" s="219" t="s">
        <v>1</v>
      </c>
      <c r="D21" s="114">
        <v>47</v>
      </c>
      <c r="E21" s="252"/>
      <c r="F21" s="220">
        <f>D21*E21</f>
        <v>0</v>
      </c>
    </row>
    <row r="22" spans="1:6" ht="12.75">
      <c r="A22" s="45"/>
      <c r="B22" s="132" t="s">
        <v>73</v>
      </c>
      <c r="C22" s="219" t="s">
        <v>1</v>
      </c>
      <c r="D22" s="114">
        <v>53</v>
      </c>
      <c r="E22" s="252"/>
      <c r="F22" s="220">
        <f>D22*E22</f>
        <v>0</v>
      </c>
    </row>
    <row r="23" spans="1:6" ht="12.75">
      <c r="A23" s="45"/>
      <c r="B23" s="132" t="s">
        <v>74</v>
      </c>
      <c r="C23" s="219" t="s">
        <v>1</v>
      </c>
      <c r="D23" s="114">
        <v>75</v>
      </c>
      <c r="E23" s="252"/>
      <c r="F23" s="220">
        <f>D23*E23</f>
        <v>0</v>
      </c>
    </row>
    <row r="24" spans="1:6" ht="12.75">
      <c r="A24" s="45"/>
      <c r="B24" s="132" t="s">
        <v>75</v>
      </c>
      <c r="C24" s="219" t="s">
        <v>1</v>
      </c>
      <c r="D24" s="114">
        <v>100</v>
      </c>
      <c r="E24" s="252"/>
      <c r="F24" s="220">
        <f>D24*E24</f>
        <v>0</v>
      </c>
    </row>
    <row r="25" spans="1:6" ht="12.75">
      <c r="A25" s="45"/>
      <c r="B25" s="132"/>
      <c r="C25" s="219"/>
      <c r="D25" s="114"/>
      <c r="E25" s="252"/>
      <c r="F25" s="228"/>
    </row>
    <row r="26" spans="1:6" ht="25.5">
      <c r="A26" s="45" t="s">
        <v>28</v>
      </c>
      <c r="B26" s="132" t="s">
        <v>76</v>
      </c>
      <c r="C26" s="6"/>
      <c r="D26" s="62"/>
      <c r="E26" s="91"/>
      <c r="F26" s="229"/>
    </row>
    <row r="27" spans="1:6" ht="12.75">
      <c r="A27" s="63"/>
      <c r="B27" s="132" t="s">
        <v>77</v>
      </c>
      <c r="C27" s="219" t="s">
        <v>2</v>
      </c>
      <c r="D27" s="114">
        <v>2</v>
      </c>
      <c r="E27" s="198"/>
      <c r="F27" s="220">
        <f aca="true" t="shared" si="0" ref="F27:F32">D27*E27</f>
        <v>0</v>
      </c>
    </row>
    <row r="28" spans="1:6" ht="12.75">
      <c r="A28" s="63"/>
      <c r="B28" s="132" t="s">
        <v>78</v>
      </c>
      <c r="C28" s="219" t="s">
        <v>2</v>
      </c>
      <c r="D28" s="114">
        <v>2</v>
      </c>
      <c r="E28" s="198"/>
      <c r="F28" s="220">
        <f t="shared" si="0"/>
        <v>0</v>
      </c>
    </row>
    <row r="29" spans="1:6" ht="12.75">
      <c r="A29" s="230"/>
      <c r="B29" s="134"/>
      <c r="C29" s="225"/>
      <c r="D29" s="135"/>
      <c r="E29" s="251"/>
      <c r="F29" s="220"/>
    </row>
    <row r="30" spans="1:6" ht="25.5">
      <c r="A30" s="45" t="s">
        <v>29</v>
      </c>
      <c r="B30" s="132" t="s">
        <v>79</v>
      </c>
      <c r="C30" s="6"/>
      <c r="D30" s="64"/>
      <c r="E30" s="92"/>
      <c r="F30" s="220"/>
    </row>
    <row r="31" spans="1:6" ht="12.75">
      <c r="A31" s="63"/>
      <c r="B31" s="132" t="s">
        <v>80</v>
      </c>
      <c r="C31" s="219" t="s">
        <v>2</v>
      </c>
      <c r="D31" s="114">
        <v>2</v>
      </c>
      <c r="E31" s="198"/>
      <c r="F31" s="220">
        <f t="shared" si="0"/>
        <v>0</v>
      </c>
    </row>
    <row r="32" spans="1:6" ht="12.75">
      <c r="A32" s="63"/>
      <c r="B32" s="132" t="s">
        <v>81</v>
      </c>
      <c r="C32" s="219" t="s">
        <v>2</v>
      </c>
      <c r="D32" s="114">
        <v>2</v>
      </c>
      <c r="E32" s="198"/>
      <c r="F32" s="220">
        <f t="shared" si="0"/>
        <v>0</v>
      </c>
    </row>
    <row r="33" spans="1:6" ht="12.75">
      <c r="A33" s="230"/>
      <c r="B33" s="134"/>
      <c r="C33" s="225"/>
      <c r="D33" s="135"/>
      <c r="E33" s="251"/>
      <c r="F33" s="226"/>
    </row>
    <row r="34" spans="1:6" ht="12.75">
      <c r="A34" s="45" t="s">
        <v>34</v>
      </c>
      <c r="B34" s="132" t="s">
        <v>82</v>
      </c>
      <c r="C34" s="65"/>
      <c r="D34" s="64"/>
      <c r="E34" s="92"/>
      <c r="F34" s="231"/>
    </row>
    <row r="35" spans="1:6" ht="12.75">
      <c r="A35" s="63"/>
      <c r="B35" s="232" t="s">
        <v>7</v>
      </c>
      <c r="C35" s="219" t="s">
        <v>2</v>
      </c>
      <c r="D35" s="114">
        <v>34</v>
      </c>
      <c r="E35" s="198"/>
      <c r="F35" s="220">
        <f>D35*E35</f>
        <v>0</v>
      </c>
    </row>
    <row r="36" spans="1:6" ht="12.75">
      <c r="A36" s="233"/>
      <c r="B36" s="132"/>
      <c r="C36" s="225"/>
      <c r="D36" s="135"/>
      <c r="E36" s="251"/>
      <c r="F36" s="226"/>
    </row>
    <row r="37" spans="1:6" ht="12.75">
      <c r="A37" s="233"/>
      <c r="B37" s="132"/>
      <c r="C37" s="219"/>
      <c r="D37" s="114"/>
      <c r="E37" s="198"/>
      <c r="F37" s="227"/>
    </row>
    <row r="38" spans="1:6" ht="25.5">
      <c r="A38" s="45" t="s">
        <v>35</v>
      </c>
      <c r="B38" s="132" t="s">
        <v>83</v>
      </c>
      <c r="C38" s="6"/>
      <c r="D38" s="62"/>
      <c r="E38" s="91"/>
      <c r="F38" s="229"/>
    </row>
    <row r="39" spans="1:6" ht="12.75">
      <c r="A39" s="63"/>
      <c r="B39" s="132" t="s">
        <v>84</v>
      </c>
      <c r="C39" s="6" t="s">
        <v>2</v>
      </c>
      <c r="D39" s="114">
        <v>34</v>
      </c>
      <c r="E39" s="191"/>
      <c r="F39" s="220">
        <f>D39*E39</f>
        <v>0</v>
      </c>
    </row>
    <row r="40" spans="1:6" ht="12.75">
      <c r="A40" s="230"/>
      <c r="B40" s="134"/>
      <c r="C40" s="225"/>
      <c r="D40" s="135"/>
      <c r="E40" s="251"/>
      <c r="F40" s="220"/>
    </row>
    <row r="41" spans="1:6" ht="12.75">
      <c r="A41" s="45" t="s">
        <v>36</v>
      </c>
      <c r="B41" s="234" t="s">
        <v>85</v>
      </c>
      <c r="C41" s="114" t="s">
        <v>0</v>
      </c>
      <c r="D41" s="114">
        <v>1</v>
      </c>
      <c r="E41" s="175"/>
      <c r="F41" s="220">
        <f aca="true" t="shared" si="1" ref="F41:F51">D41*E41</f>
        <v>0</v>
      </c>
    </row>
    <row r="42" spans="1:6" ht="12.75">
      <c r="A42" s="45"/>
      <c r="B42" s="132"/>
      <c r="C42" s="114"/>
      <c r="D42" s="114"/>
      <c r="E42" s="252"/>
      <c r="F42" s="220"/>
    </row>
    <row r="43" spans="1:6" ht="12.75">
      <c r="A43" s="45" t="s">
        <v>12</v>
      </c>
      <c r="B43" s="235" t="s">
        <v>86</v>
      </c>
      <c r="C43" s="114" t="s">
        <v>0</v>
      </c>
      <c r="D43" s="114">
        <v>1</v>
      </c>
      <c r="E43" s="175"/>
      <c r="F43" s="220">
        <f t="shared" si="1"/>
        <v>0</v>
      </c>
    </row>
    <row r="44" spans="1:6" ht="12.75">
      <c r="A44" s="45"/>
      <c r="B44" s="132"/>
      <c r="C44" s="114"/>
      <c r="D44" s="114"/>
      <c r="E44" s="252"/>
      <c r="F44" s="220"/>
    </row>
    <row r="45" spans="1:6" ht="38.25">
      <c r="A45" s="45" t="s">
        <v>13</v>
      </c>
      <c r="B45" s="132" t="s">
        <v>87</v>
      </c>
      <c r="C45" s="114" t="s">
        <v>0</v>
      </c>
      <c r="D45" s="114">
        <v>1</v>
      </c>
      <c r="E45" s="175"/>
      <c r="F45" s="220">
        <f t="shared" si="1"/>
        <v>0</v>
      </c>
    </row>
    <row r="46" spans="1:6" ht="12.75">
      <c r="A46" s="45"/>
      <c r="B46" s="132"/>
      <c r="C46" s="114"/>
      <c r="D46" s="114"/>
      <c r="E46" s="252"/>
      <c r="F46" s="220"/>
    </row>
    <row r="47" spans="1:6" ht="12.75">
      <c r="A47" s="45" t="s">
        <v>37</v>
      </c>
      <c r="B47" s="236" t="s">
        <v>88</v>
      </c>
      <c r="C47" s="114" t="s">
        <v>0</v>
      </c>
      <c r="D47" s="114">
        <v>1</v>
      </c>
      <c r="E47" s="175"/>
      <c r="F47" s="220">
        <f t="shared" si="1"/>
        <v>0</v>
      </c>
    </row>
    <row r="48" spans="1:6" ht="12.75">
      <c r="A48" s="45"/>
      <c r="B48" s="132"/>
      <c r="C48" s="114"/>
      <c r="D48" s="114"/>
      <c r="E48" s="252"/>
      <c r="F48" s="220"/>
    </row>
    <row r="49" spans="1:6" ht="25.5">
      <c r="A49" s="45" t="s">
        <v>14</v>
      </c>
      <c r="B49" s="236" t="s">
        <v>89</v>
      </c>
      <c r="C49" s="114" t="s">
        <v>0</v>
      </c>
      <c r="D49" s="114">
        <v>1</v>
      </c>
      <c r="E49" s="175"/>
      <c r="F49" s="220">
        <f t="shared" si="1"/>
        <v>0</v>
      </c>
    </row>
    <row r="50" spans="1:6" ht="12.75">
      <c r="A50" s="45"/>
      <c r="B50" s="236"/>
      <c r="C50" s="114"/>
      <c r="D50" s="114"/>
      <c r="E50" s="175"/>
      <c r="F50" s="220"/>
    </row>
    <row r="51" spans="1:6" ht="63.75">
      <c r="A51" s="45" t="s">
        <v>15</v>
      </c>
      <c r="B51" s="132" t="s">
        <v>91</v>
      </c>
      <c r="C51" s="114" t="s">
        <v>0</v>
      </c>
      <c r="D51" s="114">
        <v>1</v>
      </c>
      <c r="E51" s="175"/>
      <c r="F51" s="220">
        <f t="shared" si="1"/>
        <v>0</v>
      </c>
    </row>
    <row r="52" spans="1:6" ht="12.75">
      <c r="A52" s="45"/>
      <c r="B52" s="236"/>
      <c r="C52" s="114"/>
      <c r="D52" s="114"/>
      <c r="E52" s="175"/>
      <c r="F52" s="167"/>
    </row>
    <row r="53" spans="1:6" ht="25.5">
      <c r="A53" s="302"/>
      <c r="B53" s="303" t="s">
        <v>168</v>
      </c>
      <c r="C53" s="304" t="s">
        <v>90</v>
      </c>
      <c r="D53" s="305"/>
      <c r="E53" s="306"/>
      <c r="F53" s="307">
        <f>SUM(F11:F51)</f>
        <v>0</v>
      </c>
    </row>
    <row r="54" spans="1:6" ht="12.75">
      <c r="A54" s="138"/>
      <c r="B54" s="139"/>
      <c r="C54" s="140"/>
      <c r="D54" s="140"/>
      <c r="E54" s="141"/>
      <c r="F54" s="142"/>
    </row>
    <row r="55" spans="1:6" ht="12.75">
      <c r="A55" s="138"/>
      <c r="B55" s="139"/>
      <c r="C55" s="140"/>
      <c r="D55" s="140"/>
      <c r="E55" s="141"/>
      <c r="F55" s="141"/>
    </row>
    <row r="56" spans="1:6" ht="12.75">
      <c r="A56" s="138"/>
      <c r="B56" s="143" t="s">
        <v>3</v>
      </c>
      <c r="C56" s="140"/>
      <c r="D56" s="140"/>
      <c r="E56" s="141"/>
      <c r="F56" s="141"/>
    </row>
    <row r="57" spans="1:6" ht="38.25">
      <c r="A57" s="138"/>
      <c r="B57" s="144" t="s">
        <v>92</v>
      </c>
      <c r="C57" s="140"/>
      <c r="D57" s="140"/>
      <c r="E57" s="141"/>
      <c r="F57" s="141"/>
    </row>
    <row r="58" spans="1:6" ht="12.75">
      <c r="A58" s="138"/>
      <c r="B58" s="139"/>
      <c r="C58" s="140"/>
      <c r="D58" s="140"/>
      <c r="E58" s="141"/>
      <c r="F58" s="141"/>
    </row>
    <row r="59" spans="1:6" ht="12.75">
      <c r="A59" s="138"/>
      <c r="B59" s="139"/>
      <c r="C59" s="140"/>
      <c r="D59" s="140"/>
      <c r="E59" s="141"/>
      <c r="F59" s="141"/>
    </row>
    <row r="60" spans="1:6" ht="15.75">
      <c r="A60" s="145" t="s">
        <v>112</v>
      </c>
      <c r="B60" s="146" t="s">
        <v>93</v>
      </c>
      <c r="C60" s="147"/>
      <c r="D60" s="147"/>
      <c r="E60" s="94"/>
      <c r="F60" s="148"/>
    </row>
    <row r="61" spans="1:6" ht="12.75">
      <c r="A61" s="149"/>
      <c r="B61" s="150"/>
      <c r="C61" s="151"/>
      <c r="D61" s="152"/>
      <c r="E61" s="93"/>
      <c r="F61" s="153"/>
    </row>
    <row r="62" spans="1:6" ht="12.75">
      <c r="A62" s="45"/>
      <c r="B62" s="132"/>
      <c r="C62" s="137"/>
      <c r="D62" s="2"/>
      <c r="E62" s="173"/>
      <c r="F62" s="4"/>
    </row>
    <row r="63" spans="1:6" ht="140.25">
      <c r="A63" s="237" t="s">
        <v>24</v>
      </c>
      <c r="B63" s="132" t="s">
        <v>155</v>
      </c>
      <c r="C63" s="137"/>
      <c r="D63" s="2"/>
      <c r="E63" s="174"/>
      <c r="F63" s="4"/>
    </row>
    <row r="64" spans="1:6" ht="12.75">
      <c r="A64" s="45"/>
      <c r="B64" s="132" t="s">
        <v>94</v>
      </c>
      <c r="C64" s="137" t="s">
        <v>0</v>
      </c>
      <c r="D64" s="2">
        <v>2</v>
      </c>
      <c r="E64" s="173"/>
      <c r="F64" s="4">
        <f>D64*E64</f>
        <v>0</v>
      </c>
    </row>
    <row r="65" spans="1:6" ht="12.75">
      <c r="A65" s="45"/>
      <c r="B65" s="132"/>
      <c r="C65" s="137"/>
      <c r="D65" s="2"/>
      <c r="E65" s="173"/>
      <c r="F65" s="4"/>
    </row>
    <row r="66" spans="1:6" ht="63.75">
      <c r="A66" s="45" t="s">
        <v>25</v>
      </c>
      <c r="B66" s="132" t="s">
        <v>156</v>
      </c>
      <c r="C66" s="154"/>
      <c r="D66" s="2"/>
      <c r="E66" s="173"/>
      <c r="F66" s="4"/>
    </row>
    <row r="67" spans="1:6" ht="12.75">
      <c r="A67" s="149"/>
      <c r="B67" s="238" t="s">
        <v>95</v>
      </c>
      <c r="C67" s="154" t="s">
        <v>0</v>
      </c>
      <c r="D67" s="2">
        <v>2</v>
      </c>
      <c r="E67" s="173"/>
      <c r="F67" s="4">
        <f>D67*E67</f>
        <v>0</v>
      </c>
    </row>
    <row r="68" spans="1:6" ht="12.75">
      <c r="A68" s="149"/>
      <c r="B68" s="139"/>
      <c r="C68" s="152"/>
      <c r="D68" s="152"/>
      <c r="E68" s="95"/>
      <c r="F68" s="4"/>
    </row>
    <row r="69" spans="1:6" ht="25.5">
      <c r="A69" s="45" t="s">
        <v>26</v>
      </c>
      <c r="B69" s="158" t="s">
        <v>96</v>
      </c>
      <c r="C69" s="239"/>
      <c r="D69" s="155"/>
      <c r="E69" s="196"/>
      <c r="F69" s="4"/>
    </row>
    <row r="70" spans="1:6" ht="12.75">
      <c r="A70" s="155"/>
      <c r="B70" s="240" t="s">
        <v>8</v>
      </c>
      <c r="C70" s="154" t="s">
        <v>2</v>
      </c>
      <c r="D70" s="2">
        <v>2</v>
      </c>
      <c r="E70" s="173"/>
      <c r="F70" s="4">
        <f>D70*E70</f>
        <v>0</v>
      </c>
    </row>
    <row r="71" spans="1:6" ht="12.75">
      <c r="A71" s="156"/>
      <c r="B71" s="241"/>
      <c r="C71" s="157"/>
      <c r="D71" s="157"/>
      <c r="E71" s="176"/>
      <c r="F71" s="4"/>
    </row>
    <row r="72" spans="1:6" ht="25.5">
      <c r="A72" s="45" t="s">
        <v>27</v>
      </c>
      <c r="B72" s="158" t="s">
        <v>97</v>
      </c>
      <c r="C72" s="239"/>
      <c r="D72" s="155"/>
      <c r="E72" s="196"/>
      <c r="F72" s="4"/>
    </row>
    <row r="73" spans="1:6" ht="12.75">
      <c r="A73" s="155"/>
      <c r="B73" s="240" t="s">
        <v>8</v>
      </c>
      <c r="C73" s="154" t="s">
        <v>2</v>
      </c>
      <c r="D73" s="2">
        <v>2</v>
      </c>
      <c r="E73" s="173"/>
      <c r="F73" s="4">
        <f>D73*E73</f>
        <v>0</v>
      </c>
    </row>
    <row r="74" spans="1:6" ht="12.75">
      <c r="A74" s="149"/>
      <c r="B74" s="139"/>
      <c r="C74" s="152"/>
      <c r="D74" s="152"/>
      <c r="E74" s="93"/>
      <c r="F74" s="4"/>
    </row>
    <row r="75" spans="1:6" ht="63.75">
      <c r="A75" s="45" t="s">
        <v>28</v>
      </c>
      <c r="B75" s="243" t="s">
        <v>157</v>
      </c>
      <c r="C75" s="244"/>
      <c r="D75" s="244"/>
      <c r="E75" s="197"/>
      <c r="F75" s="4"/>
    </row>
    <row r="76" spans="1:6" ht="12.75">
      <c r="A76" s="5"/>
      <c r="B76" s="132" t="s">
        <v>98</v>
      </c>
      <c r="C76" s="244"/>
      <c r="D76" s="244"/>
      <c r="E76" s="197"/>
      <c r="F76" s="4"/>
    </row>
    <row r="77" spans="1:6" ht="12.75">
      <c r="A77" s="5"/>
      <c r="B77" s="242" t="s">
        <v>99</v>
      </c>
      <c r="C77" s="244"/>
      <c r="D77" s="244"/>
      <c r="E77" s="197"/>
      <c r="F77" s="4"/>
    </row>
    <row r="78" spans="1:6" ht="12.75">
      <c r="A78" s="155"/>
      <c r="B78" s="240" t="s">
        <v>100</v>
      </c>
      <c r="C78" s="159" t="s">
        <v>2</v>
      </c>
      <c r="D78" s="2">
        <v>1</v>
      </c>
      <c r="E78" s="177"/>
      <c r="F78" s="4">
        <f>D78*E78</f>
        <v>0</v>
      </c>
    </row>
    <row r="79" spans="1:6" ht="12.75">
      <c r="A79" s="155"/>
      <c r="B79" s="158"/>
      <c r="C79" s="154"/>
      <c r="D79" s="2"/>
      <c r="E79" s="174"/>
      <c r="F79" s="4"/>
    </row>
    <row r="80" spans="1:6" ht="25.5">
      <c r="A80" s="45" t="s">
        <v>29</v>
      </c>
      <c r="B80" s="241" t="s">
        <v>101</v>
      </c>
      <c r="C80" s="157"/>
      <c r="D80" s="157"/>
      <c r="E80" s="96"/>
      <c r="F80" s="4"/>
    </row>
    <row r="81" spans="1:6" ht="12.75">
      <c r="A81" s="156"/>
      <c r="B81" s="245" t="s">
        <v>7</v>
      </c>
      <c r="C81" s="157" t="s">
        <v>2</v>
      </c>
      <c r="D81" s="157">
        <v>1</v>
      </c>
      <c r="E81" s="176"/>
      <c r="F81" s="4">
        <f>D81*E81</f>
        <v>0</v>
      </c>
    </row>
    <row r="82" spans="1:6" ht="12.75">
      <c r="A82" s="156"/>
      <c r="B82" s="245" t="s">
        <v>31</v>
      </c>
      <c r="C82" s="157" t="s">
        <v>2</v>
      </c>
      <c r="D82" s="157">
        <v>1</v>
      </c>
      <c r="E82" s="176"/>
      <c r="F82" s="4">
        <f>D82*E82</f>
        <v>0</v>
      </c>
    </row>
    <row r="83" spans="1:6" ht="12.75">
      <c r="A83" s="156"/>
      <c r="B83" s="241"/>
      <c r="C83" s="157"/>
      <c r="D83" s="157"/>
      <c r="E83" s="176"/>
      <c r="F83" s="4"/>
    </row>
    <row r="84" spans="1:6" ht="25.5">
      <c r="A84" s="45" t="s">
        <v>34</v>
      </c>
      <c r="B84" s="241" t="s">
        <v>102</v>
      </c>
      <c r="C84" s="157"/>
      <c r="D84" s="157"/>
      <c r="E84" s="96"/>
      <c r="F84" s="4"/>
    </row>
    <row r="85" spans="1:6" ht="12.75">
      <c r="A85" s="156"/>
      <c r="B85" s="245" t="s">
        <v>8</v>
      </c>
      <c r="C85" s="157" t="s">
        <v>2</v>
      </c>
      <c r="D85" s="157">
        <v>4</v>
      </c>
      <c r="E85" s="176"/>
      <c r="F85" s="4">
        <f>D85*E85</f>
        <v>0</v>
      </c>
    </row>
    <row r="86" spans="1:6" ht="12.75">
      <c r="A86" s="155"/>
      <c r="B86" s="240" t="s">
        <v>7</v>
      </c>
      <c r="C86" s="154" t="s">
        <v>2</v>
      </c>
      <c r="D86" s="2">
        <v>4</v>
      </c>
      <c r="E86" s="195"/>
      <c r="F86" s="4">
        <f>D86*E86</f>
        <v>0</v>
      </c>
    </row>
    <row r="87" spans="1:6" ht="12.75">
      <c r="A87" s="156"/>
      <c r="B87" s="245" t="s">
        <v>31</v>
      </c>
      <c r="C87" s="157" t="s">
        <v>2</v>
      </c>
      <c r="D87" s="157">
        <v>1</v>
      </c>
      <c r="E87" s="176"/>
      <c r="F87" s="4">
        <f>D87*E87</f>
        <v>0</v>
      </c>
    </row>
    <row r="88" spans="1:6" ht="12.75">
      <c r="A88" s="156"/>
      <c r="B88" s="245"/>
      <c r="C88" s="157"/>
      <c r="D88" s="157"/>
      <c r="E88" s="176"/>
      <c r="F88" s="4"/>
    </row>
    <row r="89" spans="1:6" ht="25.5">
      <c r="A89" s="45" t="s">
        <v>35</v>
      </c>
      <c r="B89" s="241" t="s">
        <v>103</v>
      </c>
      <c r="C89" s="157"/>
      <c r="D89" s="157"/>
      <c r="E89" s="96"/>
      <c r="F89" s="4"/>
    </row>
    <row r="90" spans="1:6" ht="12.75">
      <c r="A90" s="156"/>
      <c r="B90" s="245" t="s">
        <v>31</v>
      </c>
      <c r="C90" s="157" t="s">
        <v>2</v>
      </c>
      <c r="D90" s="157">
        <v>2</v>
      </c>
      <c r="E90" s="176"/>
      <c r="F90" s="4">
        <f>D90*E90</f>
        <v>0</v>
      </c>
    </row>
    <row r="91" spans="1:6" ht="12.75">
      <c r="A91" s="155"/>
      <c r="B91" s="240"/>
      <c r="C91" s="154"/>
      <c r="D91" s="2"/>
      <c r="E91" s="173"/>
      <c r="F91" s="4"/>
    </row>
    <row r="92" spans="1:6" ht="25.5">
      <c r="A92" s="45" t="s">
        <v>36</v>
      </c>
      <c r="B92" s="241" t="s">
        <v>104</v>
      </c>
      <c r="C92" s="157" t="s">
        <v>0</v>
      </c>
      <c r="D92" s="157">
        <v>1</v>
      </c>
      <c r="E92" s="176"/>
      <c r="F92" s="4">
        <f>D92*E92</f>
        <v>0</v>
      </c>
    </row>
    <row r="93" spans="1:6" ht="12.75">
      <c r="A93" s="156"/>
      <c r="B93" s="246"/>
      <c r="C93" s="157"/>
      <c r="D93" s="157"/>
      <c r="E93" s="96"/>
      <c r="F93" s="4"/>
    </row>
    <row r="94" spans="1:6" ht="25.5">
      <c r="A94" s="45" t="s">
        <v>12</v>
      </c>
      <c r="B94" s="247" t="s">
        <v>158</v>
      </c>
      <c r="C94" s="114" t="s">
        <v>0</v>
      </c>
      <c r="D94" s="114">
        <v>1</v>
      </c>
      <c r="E94" s="176"/>
      <c r="F94" s="4">
        <f>D94*E94</f>
        <v>0</v>
      </c>
    </row>
    <row r="95" spans="1:6" ht="12.75">
      <c r="A95" s="156"/>
      <c r="B95" s="246"/>
      <c r="C95" s="157"/>
      <c r="D95" s="157"/>
      <c r="E95" s="96"/>
      <c r="F95" s="4"/>
    </row>
    <row r="96" spans="1:6" ht="51">
      <c r="A96" s="45" t="s">
        <v>13</v>
      </c>
      <c r="B96" s="241" t="s">
        <v>105</v>
      </c>
      <c r="C96" s="157" t="s">
        <v>0</v>
      </c>
      <c r="D96" s="157">
        <v>1</v>
      </c>
      <c r="E96" s="176"/>
      <c r="F96" s="4">
        <f>D96*E96</f>
        <v>0</v>
      </c>
    </row>
    <row r="97" spans="1:6" ht="12.75">
      <c r="A97" s="156"/>
      <c r="B97" s="248"/>
      <c r="C97" s="157"/>
      <c r="D97" s="157"/>
      <c r="E97" s="96"/>
      <c r="F97" s="4"/>
    </row>
    <row r="98" spans="1:6" ht="12.75">
      <c r="A98" s="45" t="s">
        <v>37</v>
      </c>
      <c r="B98" s="246" t="s">
        <v>106</v>
      </c>
      <c r="C98" s="157" t="s">
        <v>0</v>
      </c>
      <c r="D98" s="157">
        <v>1</v>
      </c>
      <c r="E98" s="176"/>
      <c r="F98" s="4">
        <f>D98*E98</f>
        <v>0</v>
      </c>
    </row>
    <row r="99" spans="1:6" ht="12.75">
      <c r="A99" s="45"/>
      <c r="B99" s="246"/>
      <c r="C99" s="157"/>
      <c r="D99" s="157"/>
      <c r="E99" s="176"/>
      <c r="F99" s="4"/>
    </row>
    <row r="100" spans="1:6" ht="63.75">
      <c r="A100" s="45" t="s">
        <v>14</v>
      </c>
      <c r="B100" s="132" t="s">
        <v>107</v>
      </c>
      <c r="C100" s="157" t="s">
        <v>0</v>
      </c>
      <c r="D100" s="157">
        <v>1</v>
      </c>
      <c r="E100" s="176"/>
      <c r="F100" s="4">
        <f>D100*E100</f>
        <v>0</v>
      </c>
    </row>
    <row r="101" spans="1:6" ht="12.75">
      <c r="A101" s="45"/>
      <c r="B101" s="246"/>
      <c r="C101" s="157"/>
      <c r="D101" s="157"/>
      <c r="E101" s="176"/>
      <c r="F101" s="4"/>
    </row>
    <row r="102" spans="1:6" s="309" customFormat="1" ht="12.75">
      <c r="A102" s="308"/>
      <c r="B102" s="303" t="s">
        <v>169</v>
      </c>
      <c r="C102" s="304" t="s">
        <v>90</v>
      </c>
      <c r="D102" s="305"/>
      <c r="E102" s="306"/>
      <c r="F102" s="307">
        <f>SUM(F63:F100)</f>
        <v>0</v>
      </c>
    </row>
    <row r="103" spans="1:6" ht="12.75">
      <c r="A103" s="160"/>
      <c r="B103" s="158"/>
      <c r="C103" s="161"/>
      <c r="D103" s="161"/>
      <c r="E103" s="161"/>
      <c r="F103" s="190"/>
    </row>
    <row r="104" spans="1:6" ht="12.75">
      <c r="A104" s="162"/>
      <c r="B104" s="143" t="s">
        <v>3</v>
      </c>
      <c r="C104" s="163"/>
      <c r="D104" s="164"/>
      <c r="E104" s="165"/>
      <c r="F104" s="165"/>
    </row>
    <row r="105" spans="1:6" ht="38.25">
      <c r="A105" s="162"/>
      <c r="B105" s="144" t="s">
        <v>92</v>
      </c>
      <c r="C105" s="163"/>
      <c r="D105" s="164"/>
      <c r="E105" s="165"/>
      <c r="F105" s="165"/>
    </row>
    <row r="106" spans="1:6" ht="12.75">
      <c r="A106" s="116"/>
      <c r="B106" s="115"/>
      <c r="C106" s="161"/>
      <c r="D106" s="161"/>
      <c r="E106" s="166"/>
      <c r="F106" s="166"/>
    </row>
    <row r="107" spans="1:6" ht="12.75">
      <c r="A107" s="116"/>
      <c r="B107" s="115"/>
      <c r="C107" s="161"/>
      <c r="D107" s="161"/>
      <c r="E107" s="166"/>
      <c r="F107" s="166"/>
    </row>
  </sheetData>
  <sheetProtection password="C1C7" sheet="1"/>
  <mergeCells count="4">
    <mergeCell ref="A3:F3"/>
    <mergeCell ref="A1:F1"/>
    <mergeCell ref="A2:C2"/>
    <mergeCell ref="D2:F2"/>
  </mergeCells>
  <printOptions/>
  <pageMargins left="0.7086614173228347" right="0.7480314960629921" top="1.141732283464567" bottom="0.7480314960629921" header="0.31496062992125984" footer="0.31496062992125984"/>
  <pageSetup horizontalDpi="600" verticalDpi="600" orientation="portrait" paperSize="9" r:id="rId2"/>
  <headerFooter>
    <oddHeader>&amp;L&amp;G&amp;C&amp;G&amp;R&amp;G</oddHeader>
    <oddFooter>&amp;CStran &amp;P od &amp;N</oddFooter>
  </headerFooter>
  <customProperties>
    <customPr name="DVSECTIONID" r:id="rId3"/>
  </customPropertie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:F3"/>
    </sheetView>
  </sheetViews>
  <sheetFormatPr defaultColWidth="9.00390625" defaultRowHeight="12.75"/>
  <cols>
    <col min="1" max="1" width="8.125" style="40" customWidth="1"/>
    <col min="2" max="2" width="44.25390625" style="1" customWidth="1"/>
    <col min="3" max="3" width="6.75390625" style="1" customWidth="1"/>
    <col min="4" max="4" width="10.00390625" style="1" customWidth="1"/>
    <col min="5" max="5" width="10.00390625" style="10" customWidth="1"/>
    <col min="6" max="6" width="10.00390625" style="1" customWidth="1"/>
  </cols>
  <sheetData>
    <row r="1" spans="1:6" ht="32.25" customHeight="1" thickBot="1">
      <c r="A1" s="323" t="s">
        <v>116</v>
      </c>
      <c r="B1" s="324"/>
      <c r="C1" s="324"/>
      <c r="D1" s="331"/>
      <c r="E1" s="331"/>
      <c r="F1" s="332"/>
    </row>
    <row r="2" spans="1:6" ht="12.75">
      <c r="A2" s="326" t="s">
        <v>66</v>
      </c>
      <c r="B2" s="327"/>
      <c r="C2" s="327"/>
      <c r="D2" s="326"/>
      <c r="E2" s="327"/>
      <c r="F2" s="327"/>
    </row>
    <row r="3" spans="1:6" ht="26.25" customHeight="1">
      <c r="A3" s="333" t="s">
        <v>117</v>
      </c>
      <c r="B3" s="334"/>
      <c r="C3" s="334"/>
      <c r="D3" s="334"/>
      <c r="E3" s="334"/>
      <c r="F3" s="334"/>
    </row>
    <row r="4" spans="1:6" ht="12.75">
      <c r="A4" s="37"/>
      <c r="B4" s="19"/>
      <c r="C4" s="20"/>
      <c r="D4" s="21"/>
      <c r="E4" s="11"/>
      <c r="F4" s="21"/>
    </row>
    <row r="5" spans="1:6" ht="36">
      <c r="A5" s="38" t="s">
        <v>46</v>
      </c>
      <c r="B5" s="22" t="s">
        <v>9</v>
      </c>
      <c r="C5" s="23" t="s">
        <v>4</v>
      </c>
      <c r="D5" s="24" t="s">
        <v>5</v>
      </c>
      <c r="E5" s="199" t="s">
        <v>10</v>
      </c>
      <c r="F5" s="73" t="s">
        <v>6</v>
      </c>
    </row>
    <row r="6" spans="1:6" ht="12.75">
      <c r="A6" s="74"/>
      <c r="B6" s="75"/>
      <c r="C6" s="76"/>
      <c r="D6" s="77"/>
      <c r="E6" s="200"/>
      <c r="F6" s="77"/>
    </row>
    <row r="7" spans="1:6" ht="18">
      <c r="A7" s="12"/>
      <c r="B7" s="201" t="s">
        <v>38</v>
      </c>
      <c r="C7" s="13"/>
      <c r="D7" s="14"/>
      <c r="E7" s="188"/>
      <c r="F7" s="78"/>
    </row>
    <row r="8" spans="1:6" ht="15.75">
      <c r="A8" s="15"/>
      <c r="B8" s="16"/>
      <c r="C8" s="17"/>
      <c r="D8" s="18"/>
      <c r="E8" s="189"/>
      <c r="F8" s="79"/>
    </row>
    <row r="9" spans="1:6" ht="15">
      <c r="A9" s="180" t="s">
        <v>131</v>
      </c>
      <c r="B9" s="181" t="s">
        <v>122</v>
      </c>
      <c r="C9" s="202"/>
      <c r="D9" s="202"/>
      <c r="E9" s="194"/>
      <c r="F9" s="83"/>
    </row>
    <row r="10" spans="1:6" ht="14.25">
      <c r="A10" s="203"/>
      <c r="B10" s="204"/>
      <c r="C10" s="205"/>
      <c r="D10" s="205"/>
      <c r="E10" s="84"/>
      <c r="F10" s="113"/>
    </row>
    <row r="11" spans="1:6" ht="38.25">
      <c r="A11" s="5" t="s">
        <v>24</v>
      </c>
      <c r="B11" s="3" t="s">
        <v>123</v>
      </c>
      <c r="C11" s="182" t="s">
        <v>0</v>
      </c>
      <c r="D11" s="2">
        <v>1</v>
      </c>
      <c r="E11" s="271"/>
      <c r="F11" s="9">
        <f>D11*E11</f>
        <v>0</v>
      </c>
    </row>
    <row r="12" spans="1:6" ht="12.75">
      <c r="A12" s="5"/>
      <c r="B12" s="3"/>
      <c r="C12" s="182"/>
      <c r="D12" s="183"/>
      <c r="E12" s="272"/>
      <c r="F12" s="9"/>
    </row>
    <row r="13" spans="1:6" ht="76.5">
      <c r="A13" s="5" t="s">
        <v>25</v>
      </c>
      <c r="B13" s="3" t="s">
        <v>124</v>
      </c>
      <c r="C13" s="206" t="s">
        <v>2</v>
      </c>
      <c r="D13" s="2">
        <v>88</v>
      </c>
      <c r="E13" s="271"/>
      <c r="F13" s="9">
        <f>D13*E13</f>
        <v>0</v>
      </c>
    </row>
    <row r="14" spans="1:6" ht="12.75">
      <c r="A14" s="5"/>
      <c r="B14" s="3"/>
      <c r="C14" s="182"/>
      <c r="D14" s="183"/>
      <c r="E14" s="172"/>
      <c r="F14" s="9"/>
    </row>
    <row r="15" spans="1:6" ht="51">
      <c r="A15" s="5" t="s">
        <v>26</v>
      </c>
      <c r="B15" s="184" t="s">
        <v>159</v>
      </c>
      <c r="C15" s="206"/>
      <c r="D15" s="2"/>
      <c r="E15" s="172"/>
      <c r="F15" s="9"/>
    </row>
    <row r="16" spans="1:6" ht="12.75">
      <c r="A16" s="5"/>
      <c r="B16" s="184" t="s">
        <v>125</v>
      </c>
      <c r="C16" s="206"/>
      <c r="D16" s="2"/>
      <c r="E16" s="172"/>
      <c r="F16" s="9"/>
    </row>
    <row r="17" spans="1:6" ht="25.5">
      <c r="A17" s="5"/>
      <c r="B17" s="184" t="s">
        <v>126</v>
      </c>
      <c r="C17" s="206"/>
      <c r="D17" s="2"/>
      <c r="E17" s="172"/>
      <c r="F17" s="9"/>
    </row>
    <row r="18" spans="1:6" ht="12.75">
      <c r="A18" s="5"/>
      <c r="B18" s="184" t="s">
        <v>127</v>
      </c>
      <c r="C18" s="206" t="s">
        <v>2</v>
      </c>
      <c r="D18" s="2">
        <v>88</v>
      </c>
      <c r="E18" s="172"/>
      <c r="F18" s="9">
        <f>D18*E18</f>
        <v>0</v>
      </c>
    </row>
    <row r="19" spans="1:6" ht="12.75">
      <c r="A19" s="5"/>
      <c r="B19" s="3"/>
      <c r="C19" s="182"/>
      <c r="D19" s="183"/>
      <c r="E19" s="172"/>
      <c r="F19" s="9"/>
    </row>
    <row r="20" spans="1:6" ht="76.5">
      <c r="A20" s="5" t="s">
        <v>27</v>
      </c>
      <c r="B20" s="3" t="s">
        <v>160</v>
      </c>
      <c r="C20" s="206"/>
      <c r="D20" s="154"/>
      <c r="E20" s="172"/>
      <c r="F20" s="9"/>
    </row>
    <row r="21" spans="1:6" ht="12.75">
      <c r="A21" s="5"/>
      <c r="B21" s="3" t="s">
        <v>128</v>
      </c>
      <c r="C21" s="182"/>
      <c r="D21" s="183"/>
      <c r="E21" s="172"/>
      <c r="F21" s="9"/>
    </row>
    <row r="22" spans="1:6" ht="25.5">
      <c r="A22" s="5"/>
      <c r="B22" s="3" t="s">
        <v>126</v>
      </c>
      <c r="C22" s="182"/>
      <c r="D22" s="183"/>
      <c r="E22" s="172"/>
      <c r="F22" s="9"/>
    </row>
    <row r="23" spans="1:6" ht="12.75">
      <c r="A23" s="5"/>
      <c r="B23" s="3" t="s">
        <v>129</v>
      </c>
      <c r="C23" s="206" t="s">
        <v>2</v>
      </c>
      <c r="D23" s="154">
        <v>88</v>
      </c>
      <c r="E23" s="172"/>
      <c r="F23" s="9">
        <f>D23*E23</f>
        <v>0</v>
      </c>
    </row>
    <row r="24" spans="1:6" ht="12.75">
      <c r="A24" s="5"/>
      <c r="B24" s="3"/>
      <c r="C24" s="206"/>
      <c r="D24" s="154"/>
      <c r="E24" s="172"/>
      <c r="F24" s="9"/>
    </row>
    <row r="25" spans="1:6" ht="38.25">
      <c r="A25" s="5" t="s">
        <v>28</v>
      </c>
      <c r="B25" s="207" t="s">
        <v>161</v>
      </c>
      <c r="C25" s="206" t="s">
        <v>2</v>
      </c>
      <c r="D25" s="2">
        <v>88</v>
      </c>
      <c r="E25" s="172"/>
      <c r="F25" s="9">
        <f>D25*E25</f>
        <v>0</v>
      </c>
    </row>
    <row r="26" spans="1:6" ht="12.75">
      <c r="A26" s="5"/>
      <c r="B26" s="3"/>
      <c r="C26" s="206"/>
      <c r="D26" s="154"/>
      <c r="E26" s="172"/>
      <c r="F26" s="9"/>
    </row>
    <row r="27" spans="1:6" ht="25.5">
      <c r="A27" s="45" t="s">
        <v>29</v>
      </c>
      <c r="B27" s="132" t="s">
        <v>130</v>
      </c>
      <c r="C27" s="137" t="s">
        <v>0</v>
      </c>
      <c r="D27" s="2">
        <v>1</v>
      </c>
      <c r="E27" s="172"/>
      <c r="F27" s="9">
        <f>D27*E27</f>
        <v>0</v>
      </c>
    </row>
    <row r="28" spans="1:6" ht="12.75">
      <c r="A28" s="5"/>
      <c r="B28" s="3"/>
      <c r="C28" s="182"/>
      <c r="D28" s="183"/>
      <c r="E28" s="172"/>
      <c r="F28" s="9"/>
    </row>
    <row r="29" spans="1:6" ht="25.5">
      <c r="A29" s="5" t="s">
        <v>34</v>
      </c>
      <c r="B29" s="207" t="s">
        <v>32</v>
      </c>
      <c r="C29" s="206" t="s">
        <v>0</v>
      </c>
      <c r="D29" s="154">
        <v>1</v>
      </c>
      <c r="E29" s="172"/>
      <c r="F29" s="9">
        <f>D29*E29</f>
        <v>0</v>
      </c>
    </row>
    <row r="30" spans="1:6" ht="12.75">
      <c r="A30" s="5"/>
      <c r="B30" s="3"/>
      <c r="C30" s="206"/>
      <c r="D30" s="183"/>
      <c r="E30" s="172"/>
      <c r="F30" s="9"/>
    </row>
    <row r="31" spans="1:6" ht="51">
      <c r="A31" s="209" t="s">
        <v>35</v>
      </c>
      <c r="B31" s="207" t="s">
        <v>20</v>
      </c>
      <c r="C31" s="208" t="s">
        <v>0</v>
      </c>
      <c r="D31" s="2">
        <v>1</v>
      </c>
      <c r="E31" s="85"/>
      <c r="F31" s="9">
        <f>D31*E31</f>
        <v>0</v>
      </c>
    </row>
    <row r="32" spans="1:6" ht="12.75">
      <c r="A32" s="185"/>
      <c r="B32" s="7"/>
      <c r="C32" s="186"/>
      <c r="D32" s="167"/>
      <c r="E32" s="85"/>
      <c r="F32" s="9"/>
    </row>
    <row r="33" spans="1:6" ht="25.5">
      <c r="A33" s="310"/>
      <c r="B33" s="311" t="s">
        <v>170</v>
      </c>
      <c r="C33" s="312"/>
      <c r="D33" s="312"/>
      <c r="E33" s="313"/>
      <c r="F33" s="314">
        <f>SUM(F11:F31)</f>
        <v>0</v>
      </c>
    </row>
    <row r="34" spans="1:6" ht="12.75">
      <c r="A34" s="210"/>
      <c r="B34" s="211"/>
      <c r="C34" s="211"/>
      <c r="D34" s="211"/>
      <c r="E34" s="212"/>
      <c r="F34" s="187"/>
    </row>
    <row r="35" spans="1:6" ht="12.75">
      <c r="A35" s="213"/>
      <c r="B35" s="214" t="s">
        <v>3</v>
      </c>
      <c r="C35" s="215"/>
      <c r="D35" s="215"/>
      <c r="E35" s="168"/>
      <c r="F35" s="187"/>
    </row>
    <row r="36" spans="1:6" ht="12.75">
      <c r="A36" s="213"/>
      <c r="B36" s="214"/>
      <c r="C36" s="215"/>
      <c r="D36" s="215"/>
      <c r="E36" s="212"/>
      <c r="F36" s="187"/>
    </row>
    <row r="37" spans="1:6" ht="38.25">
      <c r="A37" s="213"/>
      <c r="B37" s="216" t="s">
        <v>92</v>
      </c>
      <c r="C37" s="215"/>
      <c r="D37" s="215"/>
      <c r="E37" s="212"/>
      <c r="F37" s="187"/>
    </row>
  </sheetData>
  <sheetProtection password="C1C7" sheet="1"/>
  <mergeCells count="4">
    <mergeCell ref="A1:F1"/>
    <mergeCell ref="A2:C2"/>
    <mergeCell ref="D2:F2"/>
    <mergeCell ref="A3:F3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2"/>
  <headerFooter>
    <oddHeader>&amp;L&amp;G&amp;C&amp;G&amp;R&amp;G</oddHeader>
    <oddFooter>&amp;CStran &amp;P od &amp;N</oddFooter>
  </headerFooter>
  <customProperties>
    <customPr name="DVSECTIONID" r:id="rId3"/>
  </customPropertie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"/>
  <sheetViews>
    <sheetView zoomScalePageLayoutView="0" workbookViewId="0" topLeftCell="A1">
      <selection activeCell="EE9" sqref="EE9"/>
    </sheetView>
  </sheetViews>
  <sheetFormatPr defaultColWidth="9.00390625" defaultRowHeight="12.75"/>
  <sheetData>
    <row r="1" spans="1:256" ht="12.75">
      <c r="A1" t="e">
        <f>IF(Rekapitulacija!1:1,"AAAAAHrtvgA=",0)</f>
        <v>#VALUE!</v>
      </c>
      <c r="B1" t="e">
        <f>AND(Rekapitulacija!A1,"AAAAAHrtvgE=")</f>
        <v>#VALUE!</v>
      </c>
      <c r="C1" t="e">
        <f>AND(Rekapitulacija!B1,"AAAAAHrtvgI=")</f>
        <v>#VALUE!</v>
      </c>
      <c r="D1" t="e">
        <f>AND(Rekapitulacija!C1,"AAAAAHrtvgM=")</f>
        <v>#VALUE!</v>
      </c>
      <c r="E1">
        <f>IF(Rekapitulacija!2:2,"AAAAAHrtvgQ=",0)</f>
        <v>0</v>
      </c>
      <c r="F1" t="e">
        <f>AND(Rekapitulacija!A2,"AAAAAHrtvgU=")</f>
        <v>#VALUE!</v>
      </c>
      <c r="G1" t="e">
        <f>AND(Rekapitulacija!B2,"AAAAAHrtvgY=")</f>
        <v>#VALUE!</v>
      </c>
      <c r="H1" t="e">
        <f>AND(Rekapitulacija!C2,"AAAAAHrtvgc=")</f>
        <v>#VALUE!</v>
      </c>
      <c r="I1">
        <f>IF(Rekapitulacija!3:3,"AAAAAHrtvgg=",0)</f>
        <v>0</v>
      </c>
      <c r="J1" t="e">
        <f>AND(Rekapitulacija!A3,"AAAAAHrtvgk=")</f>
        <v>#VALUE!</v>
      </c>
      <c r="K1" t="e">
        <f>AND(Rekapitulacija!B3,"AAAAAHrtvgo=")</f>
        <v>#VALUE!</v>
      </c>
      <c r="L1" t="e">
        <f>AND(Rekapitulacija!C3,"AAAAAHrtvgs=")</f>
        <v>#VALUE!</v>
      </c>
      <c r="M1">
        <f>IF(Rekapitulacija!5:5,"AAAAAHrtvgw=",0)</f>
        <v>0</v>
      </c>
      <c r="N1" t="e">
        <f>AND(Rekapitulacija!A5,"AAAAAHrtvg0=")</f>
        <v>#VALUE!</v>
      </c>
      <c r="O1" t="e">
        <f>AND(Rekapitulacija!B5,"AAAAAHrtvg4=")</f>
        <v>#VALUE!</v>
      </c>
      <c r="P1" t="e">
        <f>AND(Rekapitulacija!C5,"AAAAAHrtvg8=")</f>
        <v>#VALUE!</v>
      </c>
      <c r="Q1">
        <f>IF(Rekapitulacija!6:6,"AAAAAHrtvhA=",0)</f>
        <v>0</v>
      </c>
      <c r="R1" t="e">
        <f>AND(Rekapitulacija!A6,"AAAAAHrtvhE=")</f>
        <v>#VALUE!</v>
      </c>
      <c r="S1" t="e">
        <f>AND(Rekapitulacija!B6,"AAAAAHrtvhI=")</f>
        <v>#VALUE!</v>
      </c>
      <c r="T1" t="e">
        <f>AND(Rekapitulacija!C6,"AAAAAHrtvhM=")</f>
        <v>#VALUE!</v>
      </c>
      <c r="U1">
        <f>IF(Rekapitulacija!7:7,"AAAAAHrtvhQ=",0)</f>
        <v>0</v>
      </c>
      <c r="V1" t="e">
        <f>AND(Rekapitulacija!A7,"AAAAAHrtvhU=")</f>
        <v>#VALUE!</v>
      </c>
      <c r="W1" t="e">
        <f>AND(Rekapitulacija!B7,"AAAAAHrtvhY=")</f>
        <v>#VALUE!</v>
      </c>
      <c r="X1" t="e">
        <f>AND(Rekapitulacija!C7,"AAAAAHrtvhc=")</f>
        <v>#VALUE!</v>
      </c>
      <c r="Y1">
        <f>IF(Rekapitulacija!8:8,"AAAAAHrtvhg=",0)</f>
        <v>0</v>
      </c>
      <c r="Z1" t="e">
        <f>AND(Rekapitulacija!A8,"AAAAAHrtvhk=")</f>
        <v>#VALUE!</v>
      </c>
      <c r="AA1" t="e">
        <f>AND(Rekapitulacija!B8,"AAAAAHrtvho=")</f>
        <v>#VALUE!</v>
      </c>
      <c r="AB1" t="e">
        <f>AND(Rekapitulacija!C8,"AAAAAHrtvhs=")</f>
        <v>#VALUE!</v>
      </c>
      <c r="AC1">
        <f>IF(Rekapitulacija!9:9,"AAAAAHrtvhw=",0)</f>
        <v>0</v>
      </c>
      <c r="AD1" t="e">
        <f>AND(Rekapitulacija!A9,"AAAAAHrtvh0=")</f>
        <v>#VALUE!</v>
      </c>
      <c r="AE1" t="e">
        <f>AND(Rekapitulacija!B9,"AAAAAHrtvh4=")</f>
        <v>#VALUE!</v>
      </c>
      <c r="AF1" t="e">
        <f>AND(Rekapitulacija!C9,"AAAAAHrtvh8=")</f>
        <v>#VALUE!</v>
      </c>
      <c r="AG1">
        <f>IF(Rekapitulacija!10:10,"AAAAAHrtviA=",0)</f>
        <v>0</v>
      </c>
      <c r="AH1" t="e">
        <f>AND(Rekapitulacija!A10,"AAAAAHrtviE=")</f>
        <v>#VALUE!</v>
      </c>
      <c r="AI1" t="e">
        <f>AND(Rekapitulacija!B10,"AAAAAHrtviI=")</f>
        <v>#VALUE!</v>
      </c>
      <c r="AJ1" t="e">
        <f>AND(Rekapitulacija!C10,"AAAAAHrtviM=")</f>
        <v>#VALUE!</v>
      </c>
      <c r="AK1">
        <f>IF(Rekapitulacija!11:11,"AAAAAHrtviQ=",0)</f>
        <v>0</v>
      </c>
      <c r="AL1" t="e">
        <f>AND(Rekapitulacija!A11,"AAAAAHrtviU=")</f>
        <v>#VALUE!</v>
      </c>
      <c r="AM1" t="e">
        <f>AND(Rekapitulacija!B11,"AAAAAHrtviY=")</f>
        <v>#VALUE!</v>
      </c>
      <c r="AN1" t="e">
        <f>AND(Rekapitulacija!C11,"AAAAAHrtvic=")</f>
        <v>#VALUE!</v>
      </c>
      <c r="AO1">
        <f>IF(Rekapitulacija!12:12,"AAAAAHrtvig=",0)</f>
        <v>0</v>
      </c>
      <c r="AP1" t="e">
        <f>AND(Rekapitulacija!A12,"AAAAAHrtvik=")</f>
        <v>#VALUE!</v>
      </c>
      <c r="AQ1" t="e">
        <f>AND(Rekapitulacija!B12,"AAAAAHrtvio=")</f>
        <v>#VALUE!</v>
      </c>
      <c r="AR1" t="e">
        <f>AND(Rekapitulacija!C12,"AAAAAHrtvis=")</f>
        <v>#VALUE!</v>
      </c>
      <c r="AS1">
        <f>IF(Rekapitulacija!13:13,"AAAAAHrtviw=",0)</f>
        <v>0</v>
      </c>
      <c r="AT1" t="e">
        <f>AND(Rekapitulacija!A13,"AAAAAHrtvi0=")</f>
        <v>#VALUE!</v>
      </c>
      <c r="AU1" t="e">
        <f>AND(Rekapitulacija!B13,"AAAAAHrtvi4=")</f>
        <v>#VALUE!</v>
      </c>
      <c r="AV1" t="e">
        <f>AND(Rekapitulacija!C13,"AAAAAHrtvi8=")</f>
        <v>#VALUE!</v>
      </c>
      <c r="AW1">
        <f>IF(Rekapitulacija!14:14,"AAAAAHrtvjA=",0)</f>
        <v>0</v>
      </c>
      <c r="AX1" t="e">
        <f>AND(Rekapitulacija!A14,"AAAAAHrtvjE=")</f>
        <v>#VALUE!</v>
      </c>
      <c r="AY1" t="e">
        <f>AND(Rekapitulacija!B14,"AAAAAHrtvjI=")</f>
        <v>#VALUE!</v>
      </c>
      <c r="AZ1" t="e">
        <f>AND(Rekapitulacija!C14,"AAAAAHrtvjM=")</f>
        <v>#VALUE!</v>
      </c>
      <c r="BA1">
        <f>IF(Rekapitulacija!15:15,"AAAAAHrtvjQ=",0)</f>
        <v>0</v>
      </c>
      <c r="BB1" t="e">
        <f>AND(Rekapitulacija!A15,"AAAAAHrtvjU=")</f>
        <v>#VALUE!</v>
      </c>
      <c r="BC1" t="e">
        <f>AND(Rekapitulacija!B15,"AAAAAHrtvjY=")</f>
        <v>#VALUE!</v>
      </c>
      <c r="BD1" t="e">
        <f>AND(Rekapitulacija!C15,"AAAAAHrtvjc=")</f>
        <v>#VALUE!</v>
      </c>
      <c r="BE1">
        <f>IF(Rekapitulacija!16:16,"AAAAAHrtvjg=",0)</f>
        <v>0</v>
      </c>
      <c r="BF1" t="e">
        <f>AND(Rekapitulacija!A16,"AAAAAHrtvjk=")</f>
        <v>#VALUE!</v>
      </c>
      <c r="BG1" t="e">
        <f>AND(Rekapitulacija!B16,"AAAAAHrtvjo=")</f>
        <v>#VALUE!</v>
      </c>
      <c r="BH1" t="e">
        <f>AND(Rekapitulacija!C16,"AAAAAHrtvjs=")</f>
        <v>#VALUE!</v>
      </c>
      <c r="BI1">
        <f>IF(Rekapitulacija!19:19,"AAAAAHrtvjw=",0)</f>
        <v>0</v>
      </c>
      <c r="BJ1" t="e">
        <f>AND(Rekapitulacija!A19,"AAAAAHrtvj0=")</f>
        <v>#VALUE!</v>
      </c>
      <c r="BK1" t="e">
        <f>AND(Rekapitulacija!B19,"AAAAAHrtvj4=")</f>
        <v>#VALUE!</v>
      </c>
      <c r="BL1" t="e">
        <f>AND(Rekapitulacija!C19,"AAAAAHrtvj8=")</f>
        <v>#VALUE!</v>
      </c>
      <c r="BM1">
        <f>IF(Rekapitulacija!23:23,"AAAAAHrtvkA=",0)</f>
        <v>0</v>
      </c>
      <c r="BN1" t="e">
        <f>AND(Rekapitulacija!A23,"AAAAAHrtvkE=")</f>
        <v>#VALUE!</v>
      </c>
      <c r="BO1" t="e">
        <f>AND(Rekapitulacija!B23,"AAAAAHrtvkI=")</f>
        <v>#VALUE!</v>
      </c>
      <c r="BP1" t="e">
        <f>AND(Rekapitulacija!C23,"AAAAAHrtvkM=")</f>
        <v>#VALUE!</v>
      </c>
      <c r="BQ1">
        <f>IF(Rekapitulacija!26:26,"AAAAAHrtvkQ=",0)</f>
        <v>0</v>
      </c>
      <c r="BR1" t="e">
        <f>AND(Rekapitulacija!A26,"AAAAAHrtvkU=")</f>
        <v>#VALUE!</v>
      </c>
      <c r="BS1" t="e">
        <f>AND(Rekapitulacija!B26,"AAAAAHrtvkY=")</f>
        <v>#VALUE!</v>
      </c>
      <c r="BT1" t="e">
        <f>AND(Rekapitulacija!C26,"AAAAAHrtvkc=")</f>
        <v>#VALUE!</v>
      </c>
      <c r="BU1">
        <f>IF(Rekapitulacija!27:27,"AAAAAHrtvkg=",0)</f>
        <v>0</v>
      </c>
      <c r="BV1" t="e">
        <f>AND(Rekapitulacija!A27,"AAAAAHrtvkk=")</f>
        <v>#VALUE!</v>
      </c>
      <c r="BW1" t="e">
        <f>AND(Rekapitulacija!B27,"AAAAAHrtvko=")</f>
        <v>#VALUE!</v>
      </c>
      <c r="BX1" t="e">
        <f>AND(Rekapitulacija!C27,"AAAAAHrtvks=")</f>
        <v>#VALUE!</v>
      </c>
      <c r="BY1">
        <f>IF(Rekapitulacija!28:28,"AAAAAHrtvkw=",0)</f>
        <v>0</v>
      </c>
      <c r="BZ1" t="e">
        <f>AND(Rekapitulacija!A28,"AAAAAHrtvk0=")</f>
        <v>#VALUE!</v>
      </c>
      <c r="CA1" t="e">
        <f>AND(Rekapitulacija!B28,"AAAAAHrtvk4=")</f>
        <v>#VALUE!</v>
      </c>
      <c r="CB1" t="e">
        <f>AND(Rekapitulacija!C28,"AAAAAHrtvk8=")</f>
        <v>#VALUE!</v>
      </c>
      <c r="CC1">
        <f>IF(Rekapitulacija!29:29,"AAAAAHrtvlA=",0)</f>
        <v>0</v>
      </c>
      <c r="CD1" t="e">
        <f>IF(Rekapitulacija!A:A,"AAAAAHrtvlE=",0)</f>
        <v>#VALUE!</v>
      </c>
      <c r="CE1">
        <f>IF(Rekapitulacija!B:B,"AAAAAHrtvlI=",0)</f>
        <v>0</v>
      </c>
      <c r="CF1">
        <f>IF(Rekapitulacija!C:C,"AAAAAHrtvlM=",0)</f>
        <v>0</v>
      </c>
      <c r="CG1">
        <f>IF('Prezračevanje '!1:1,"AAAAAHrtvlQ=",0)</f>
        <v>0</v>
      </c>
      <c r="CH1" t="e">
        <f>AND('Prezračevanje '!A1,"AAAAAHrtvlU=")</f>
        <v>#VALUE!</v>
      </c>
      <c r="CI1" t="e">
        <f>AND('Prezračevanje '!B1,"AAAAAHrtvlY=")</f>
        <v>#VALUE!</v>
      </c>
      <c r="CJ1" t="e">
        <f>AND('Prezračevanje '!C1,"AAAAAHrtvlc=")</f>
        <v>#VALUE!</v>
      </c>
      <c r="CK1" t="e">
        <f>AND('Prezračevanje '!D1,"AAAAAHrtvlg=")</f>
        <v>#VALUE!</v>
      </c>
      <c r="CL1" t="e">
        <f>AND('Prezračevanje '!E1,"AAAAAHrtvlk=")</f>
        <v>#VALUE!</v>
      </c>
      <c r="CM1" t="e">
        <f>AND('Prezračevanje '!F1,"AAAAAHrtvlo=")</f>
        <v>#VALUE!</v>
      </c>
      <c r="CN1" t="e">
        <f>AND('Prezračevanje '!G1,"AAAAAHrtvls=")</f>
        <v>#VALUE!</v>
      </c>
      <c r="CO1" t="e">
        <f>AND('Prezračevanje '!H1,"AAAAAHrtvlw=")</f>
        <v>#VALUE!</v>
      </c>
      <c r="CP1" t="e">
        <f>AND('Prezračevanje '!I1,"AAAAAHrtvl0=")</f>
        <v>#VALUE!</v>
      </c>
      <c r="CQ1" t="e">
        <f>AND('Prezračevanje '!J1,"AAAAAHrtvl4=")</f>
        <v>#VALUE!</v>
      </c>
      <c r="CR1">
        <f>IF('Prezračevanje '!3:3,"AAAAAHrtvl8=",0)</f>
        <v>0</v>
      </c>
      <c r="CS1" t="e">
        <f>AND('Prezračevanje '!A3,"AAAAAHrtvmA=")</f>
        <v>#VALUE!</v>
      </c>
      <c r="CT1" t="e">
        <f>AND('Prezračevanje '!B3,"AAAAAHrtvmE=")</f>
        <v>#VALUE!</v>
      </c>
      <c r="CU1" t="e">
        <f>AND('Prezračevanje '!C3,"AAAAAHrtvmI=")</f>
        <v>#VALUE!</v>
      </c>
      <c r="CV1" t="e">
        <f>AND('Prezračevanje '!D3,"AAAAAHrtvmM=")</f>
        <v>#VALUE!</v>
      </c>
      <c r="CW1" t="e">
        <f>AND('Prezračevanje '!E3,"AAAAAHrtvmQ=")</f>
        <v>#VALUE!</v>
      </c>
      <c r="CX1" t="e">
        <f>AND('Prezračevanje '!F3,"AAAAAHrtvmU=")</f>
        <v>#VALUE!</v>
      </c>
      <c r="CY1" t="e">
        <f>AND('Prezračevanje '!G3,"AAAAAHrtvmY=")</f>
        <v>#VALUE!</v>
      </c>
      <c r="CZ1" t="e">
        <f>AND('Prezračevanje '!H3,"AAAAAHrtvmc=")</f>
        <v>#VALUE!</v>
      </c>
      <c r="DA1" t="e">
        <f>AND('Prezračevanje '!I3,"AAAAAHrtvmg=")</f>
        <v>#VALUE!</v>
      </c>
      <c r="DB1" t="e">
        <f>AND('Prezračevanje '!J3,"AAAAAHrtvmk=")</f>
        <v>#VALUE!</v>
      </c>
      <c r="DC1">
        <f>IF('Prezračevanje '!4:4,"AAAAAHrtvmo=",0)</f>
        <v>0</v>
      </c>
      <c r="DD1" t="e">
        <f>AND('Prezračevanje '!A4,"AAAAAHrtvms=")</f>
        <v>#VALUE!</v>
      </c>
      <c r="DE1" t="e">
        <f>AND('Prezračevanje '!B4,"AAAAAHrtvmw=")</f>
        <v>#VALUE!</v>
      </c>
      <c r="DF1" t="e">
        <f>AND('Prezračevanje '!C4,"AAAAAHrtvm0=")</f>
        <v>#VALUE!</v>
      </c>
      <c r="DG1" t="e">
        <f>AND('Prezračevanje '!D4,"AAAAAHrtvm4=")</f>
        <v>#VALUE!</v>
      </c>
      <c r="DH1" t="e">
        <f>AND('Prezračevanje '!E4,"AAAAAHrtvm8=")</f>
        <v>#VALUE!</v>
      </c>
      <c r="DI1" t="e">
        <f>AND('Prezračevanje '!F4,"AAAAAHrtvnA=")</f>
        <v>#VALUE!</v>
      </c>
      <c r="DJ1" t="e">
        <f>AND('Prezračevanje '!G4,"AAAAAHrtvnE=")</f>
        <v>#VALUE!</v>
      </c>
      <c r="DK1" t="e">
        <f>AND('Prezračevanje '!H4,"AAAAAHrtvnI=")</f>
        <v>#VALUE!</v>
      </c>
      <c r="DL1" t="e">
        <f>AND('Prezračevanje '!I4,"AAAAAHrtvnM=")</f>
        <v>#VALUE!</v>
      </c>
      <c r="DM1" t="e">
        <f>AND('Prezračevanje '!J4,"AAAAAHrtvnQ=")</f>
        <v>#VALUE!</v>
      </c>
      <c r="DN1">
        <f>IF('Prezračevanje '!5:5,"AAAAAHrtvnU=",0)</f>
        <v>0</v>
      </c>
      <c r="DO1" t="e">
        <f>AND('Prezračevanje '!A5,"AAAAAHrtvnY=")</f>
        <v>#VALUE!</v>
      </c>
      <c r="DP1" t="e">
        <f>AND('Prezračevanje '!B5,"AAAAAHrtvnc=")</f>
        <v>#VALUE!</v>
      </c>
      <c r="DQ1" t="e">
        <f>AND('Prezračevanje '!C5,"AAAAAHrtvng=")</f>
        <v>#VALUE!</v>
      </c>
      <c r="DR1" t="e">
        <f>AND('Prezračevanje '!D5,"AAAAAHrtvnk=")</f>
        <v>#VALUE!</v>
      </c>
      <c r="DS1" t="e">
        <f>AND('Prezračevanje '!E5,"AAAAAHrtvno=")</f>
        <v>#VALUE!</v>
      </c>
      <c r="DT1" t="e">
        <f>AND('Prezračevanje '!F5,"AAAAAHrtvns=")</f>
        <v>#VALUE!</v>
      </c>
      <c r="DU1" t="e">
        <f>AND('Prezračevanje '!G5,"AAAAAHrtvnw=")</f>
        <v>#VALUE!</v>
      </c>
      <c r="DV1" t="e">
        <f>AND('Prezračevanje '!H5,"AAAAAHrtvn0=")</f>
        <v>#VALUE!</v>
      </c>
      <c r="DW1" t="e">
        <f>AND('Prezračevanje '!I5,"AAAAAHrtvn4=")</f>
        <v>#VALUE!</v>
      </c>
      <c r="DX1" t="e">
        <f>AND('Prezračevanje '!J5,"AAAAAHrtvn8=")</f>
        <v>#VALUE!</v>
      </c>
      <c r="DY1">
        <f>IF('Prezračevanje '!6:6,"AAAAAHrtvoA=",0)</f>
        <v>0</v>
      </c>
      <c r="DZ1" t="e">
        <f>AND('Prezračevanje '!A6,"AAAAAHrtvoE=")</f>
        <v>#VALUE!</v>
      </c>
      <c r="EA1" t="e">
        <f>AND('Prezračevanje '!B6,"AAAAAHrtvoI=")</f>
        <v>#VALUE!</v>
      </c>
      <c r="EB1" t="e">
        <f>AND('Prezračevanje '!C6,"AAAAAHrtvoM=")</f>
        <v>#VALUE!</v>
      </c>
      <c r="EC1" t="e">
        <f>AND('Prezračevanje '!D6,"AAAAAHrtvoQ=")</f>
        <v>#VALUE!</v>
      </c>
      <c r="ED1" t="e">
        <f>AND('Prezračevanje '!E6,"AAAAAHrtvoU=")</f>
        <v>#VALUE!</v>
      </c>
      <c r="EE1" t="e">
        <f>AND('Prezračevanje '!F6,"AAAAAHrtvoY=")</f>
        <v>#VALUE!</v>
      </c>
      <c r="EF1" t="e">
        <f>AND('Prezračevanje '!G6,"AAAAAHrtvoc=")</f>
        <v>#VALUE!</v>
      </c>
      <c r="EG1" t="e">
        <f>AND('Prezračevanje '!H6,"AAAAAHrtvog=")</f>
        <v>#VALUE!</v>
      </c>
      <c r="EH1" t="e">
        <f>AND('Prezračevanje '!I6,"AAAAAHrtvok=")</f>
        <v>#VALUE!</v>
      </c>
      <c r="EI1" t="e">
        <f>AND('Prezračevanje '!J6,"AAAAAHrtvoo=")</f>
        <v>#VALUE!</v>
      </c>
      <c r="EJ1">
        <f>IF('Prezračevanje '!7:7,"AAAAAHrtvos=",0)</f>
        <v>0</v>
      </c>
      <c r="EK1" t="e">
        <f>AND('Prezračevanje '!A7,"AAAAAHrtvow=")</f>
        <v>#VALUE!</v>
      </c>
      <c r="EL1" t="e">
        <f>AND('Prezračevanje '!B7,"AAAAAHrtvo0=")</f>
        <v>#VALUE!</v>
      </c>
      <c r="EM1" t="e">
        <f>AND('Prezračevanje '!C7,"AAAAAHrtvo4=")</f>
        <v>#VALUE!</v>
      </c>
      <c r="EN1" t="e">
        <f>AND('Prezračevanje '!D7,"AAAAAHrtvo8=")</f>
        <v>#VALUE!</v>
      </c>
      <c r="EO1" t="e">
        <f>AND('Prezračevanje '!E7,"AAAAAHrtvpA=")</f>
        <v>#VALUE!</v>
      </c>
      <c r="EP1" t="e">
        <f>AND('Prezračevanje '!F7,"AAAAAHrtvpE=")</f>
        <v>#VALUE!</v>
      </c>
      <c r="EQ1" t="e">
        <f>AND('Prezračevanje '!G7,"AAAAAHrtvpI=")</f>
        <v>#VALUE!</v>
      </c>
      <c r="ER1" t="e">
        <f>AND('Prezračevanje '!H7,"AAAAAHrtvpM=")</f>
        <v>#VALUE!</v>
      </c>
      <c r="ES1" t="e">
        <f>AND('Prezračevanje '!I7,"AAAAAHrtvpQ=")</f>
        <v>#VALUE!</v>
      </c>
      <c r="ET1" t="e">
        <f>AND('Prezračevanje '!J7,"AAAAAHrtvpU=")</f>
        <v>#VALUE!</v>
      </c>
      <c r="EU1">
        <f>IF('Prezračevanje '!8:8,"AAAAAHrtvpY=",0)</f>
        <v>0</v>
      </c>
      <c r="EV1" t="e">
        <f>AND('Prezračevanje '!A8,"AAAAAHrtvpc=")</f>
        <v>#VALUE!</v>
      </c>
      <c r="EW1" t="e">
        <f>AND('Prezračevanje '!B8,"AAAAAHrtvpg=")</f>
        <v>#VALUE!</v>
      </c>
      <c r="EX1" t="e">
        <f>AND('Prezračevanje '!C8,"AAAAAHrtvpk=")</f>
        <v>#VALUE!</v>
      </c>
      <c r="EY1" t="e">
        <f>AND('Prezračevanje '!D8,"AAAAAHrtvpo=")</f>
        <v>#VALUE!</v>
      </c>
      <c r="EZ1" t="e">
        <f>AND('Prezračevanje '!E8,"AAAAAHrtvps=")</f>
        <v>#VALUE!</v>
      </c>
      <c r="FA1" t="e">
        <f>AND('Prezračevanje '!F8,"AAAAAHrtvpw=")</f>
        <v>#VALUE!</v>
      </c>
      <c r="FB1" t="e">
        <f>AND('Prezračevanje '!G8,"AAAAAHrtvp0=")</f>
        <v>#VALUE!</v>
      </c>
      <c r="FC1" t="e">
        <f>AND('Prezračevanje '!H8,"AAAAAHrtvp4=")</f>
        <v>#VALUE!</v>
      </c>
      <c r="FD1" t="e">
        <f>AND('Prezračevanje '!I8,"AAAAAHrtvp8=")</f>
        <v>#VALUE!</v>
      </c>
      <c r="FE1" t="e">
        <f>AND('Prezračevanje '!J8,"AAAAAHrtvqA=")</f>
        <v>#VALUE!</v>
      </c>
      <c r="FF1">
        <f>IF('Prezračevanje '!9:9,"AAAAAHrtvqE=",0)</f>
        <v>0</v>
      </c>
      <c r="FG1" t="e">
        <f>AND('Prezračevanje '!A9,"AAAAAHrtvqI=")</f>
        <v>#VALUE!</v>
      </c>
      <c r="FH1" t="e">
        <f>AND('Prezračevanje '!B9,"AAAAAHrtvqM=")</f>
        <v>#VALUE!</v>
      </c>
      <c r="FI1" t="e">
        <f>AND('Prezračevanje '!C9,"AAAAAHrtvqQ=")</f>
        <v>#VALUE!</v>
      </c>
      <c r="FJ1" t="e">
        <f>AND('Prezračevanje '!D9,"AAAAAHrtvqU=")</f>
        <v>#VALUE!</v>
      </c>
      <c r="FK1" t="e">
        <f>AND('Prezračevanje '!E9,"AAAAAHrtvqY=")</f>
        <v>#VALUE!</v>
      </c>
      <c r="FL1" t="e">
        <f>AND('Prezračevanje '!F9,"AAAAAHrtvqc=")</f>
        <v>#VALUE!</v>
      </c>
      <c r="FM1" t="e">
        <f>AND('Prezračevanje '!G9,"AAAAAHrtvqg=")</f>
        <v>#VALUE!</v>
      </c>
      <c r="FN1" t="e">
        <f>AND('Prezračevanje '!H9,"AAAAAHrtvqk=")</f>
        <v>#VALUE!</v>
      </c>
      <c r="FO1" t="e">
        <f>AND('Prezračevanje '!I9,"AAAAAHrtvqo=")</f>
        <v>#VALUE!</v>
      </c>
      <c r="FP1" t="e">
        <f>AND('Prezračevanje '!J9,"AAAAAHrtvqs=")</f>
        <v>#VALUE!</v>
      </c>
      <c r="FQ1">
        <f>IF('Prezračevanje '!10:10,"AAAAAHrtvqw=",0)</f>
        <v>0</v>
      </c>
      <c r="FR1" t="e">
        <f>AND('Prezračevanje '!A10,"AAAAAHrtvq0=")</f>
        <v>#VALUE!</v>
      </c>
      <c r="FS1" t="e">
        <f>AND('Prezračevanje '!B10,"AAAAAHrtvq4=")</f>
        <v>#VALUE!</v>
      </c>
      <c r="FT1" t="e">
        <f>AND('Prezračevanje '!C10,"AAAAAHrtvq8=")</f>
        <v>#VALUE!</v>
      </c>
      <c r="FU1" t="e">
        <f>AND('Prezračevanje '!D10,"AAAAAHrtvrA=")</f>
        <v>#VALUE!</v>
      </c>
      <c r="FV1" t="e">
        <f>AND('Prezračevanje '!E10,"AAAAAHrtvrE=")</f>
        <v>#VALUE!</v>
      </c>
      <c r="FW1" t="e">
        <f>AND('Prezračevanje '!F10,"AAAAAHrtvrI=")</f>
        <v>#VALUE!</v>
      </c>
      <c r="FX1" t="e">
        <f>AND('Prezračevanje '!G10,"AAAAAHrtvrM=")</f>
        <v>#VALUE!</v>
      </c>
      <c r="FY1" t="e">
        <f>AND('Prezračevanje '!H10,"AAAAAHrtvrQ=")</f>
        <v>#VALUE!</v>
      </c>
      <c r="FZ1" t="e">
        <f>AND('Prezračevanje '!I10,"AAAAAHrtvrU=")</f>
        <v>#VALUE!</v>
      </c>
      <c r="GA1" t="e">
        <f>AND('Prezračevanje '!J10,"AAAAAHrtvrY=")</f>
        <v>#VALUE!</v>
      </c>
      <c r="GB1">
        <f>IF('Prezračevanje '!11:11,"AAAAAHrtvrc=",0)</f>
        <v>0</v>
      </c>
      <c r="GC1" t="e">
        <f>AND('Prezračevanje '!A11,"AAAAAHrtvrg=")</f>
        <v>#VALUE!</v>
      </c>
      <c r="GD1" t="e">
        <f>AND('Prezračevanje '!B11,"AAAAAHrtvrk=")</f>
        <v>#VALUE!</v>
      </c>
      <c r="GE1" t="e">
        <f>AND('Prezračevanje '!C11,"AAAAAHrtvro=")</f>
        <v>#VALUE!</v>
      </c>
      <c r="GF1" t="e">
        <f>AND('Prezračevanje '!D11,"AAAAAHrtvrs=")</f>
        <v>#VALUE!</v>
      </c>
      <c r="GG1" t="e">
        <f>AND('Prezračevanje '!E11,"AAAAAHrtvrw=")</f>
        <v>#VALUE!</v>
      </c>
      <c r="GH1" t="e">
        <f>AND('Prezračevanje '!F11,"AAAAAHrtvr0=")</f>
        <v>#VALUE!</v>
      </c>
      <c r="GI1" t="e">
        <f>AND('Prezračevanje '!G11,"AAAAAHrtvr4=")</f>
        <v>#VALUE!</v>
      </c>
      <c r="GJ1" t="e">
        <f>AND('Prezračevanje '!H11,"AAAAAHrtvr8=")</f>
        <v>#VALUE!</v>
      </c>
      <c r="GK1" t="e">
        <f>AND('Prezračevanje '!I11,"AAAAAHrtvsA=")</f>
        <v>#VALUE!</v>
      </c>
      <c r="GL1" t="e">
        <f>AND('Prezračevanje '!J11,"AAAAAHrtvsE=")</f>
        <v>#VALUE!</v>
      </c>
      <c r="GM1">
        <f>IF('Prezračevanje '!12:12,"AAAAAHrtvsI=",0)</f>
        <v>0</v>
      </c>
      <c r="GN1" t="e">
        <f>AND('Prezračevanje '!A12,"AAAAAHrtvsM=")</f>
        <v>#VALUE!</v>
      </c>
      <c r="GO1" t="e">
        <f>AND('Prezračevanje '!B12,"AAAAAHrtvsQ=")</f>
        <v>#VALUE!</v>
      </c>
      <c r="GP1" t="e">
        <f>AND('Prezračevanje '!C12,"AAAAAHrtvsU=")</f>
        <v>#VALUE!</v>
      </c>
      <c r="GQ1" t="e">
        <f>AND('Prezračevanje '!D12,"AAAAAHrtvsY=")</f>
        <v>#VALUE!</v>
      </c>
      <c r="GR1" t="e">
        <f>AND('Prezračevanje '!E12,"AAAAAHrtvsc=")</f>
        <v>#VALUE!</v>
      </c>
      <c r="GS1" t="e">
        <f>AND('Prezračevanje '!F12,"AAAAAHrtvsg=")</f>
        <v>#VALUE!</v>
      </c>
      <c r="GT1" t="e">
        <f>AND('Prezračevanje '!G12,"AAAAAHrtvsk=")</f>
        <v>#VALUE!</v>
      </c>
      <c r="GU1" t="e">
        <f>AND('Prezračevanje '!H12,"AAAAAHrtvso=")</f>
        <v>#VALUE!</v>
      </c>
      <c r="GV1" t="e">
        <f>AND('Prezračevanje '!I12,"AAAAAHrtvss=")</f>
        <v>#VALUE!</v>
      </c>
      <c r="GW1" t="e">
        <f>AND('Prezračevanje '!J12,"AAAAAHrtvsw=")</f>
        <v>#VALUE!</v>
      </c>
      <c r="GX1">
        <f>IF('Prezračevanje '!13:13,"AAAAAHrtvs0=",0)</f>
        <v>0</v>
      </c>
      <c r="GY1" t="e">
        <f>AND('Prezračevanje '!A13,"AAAAAHrtvs4=")</f>
        <v>#VALUE!</v>
      </c>
      <c r="GZ1" t="e">
        <f>AND('Prezračevanje '!B13,"AAAAAHrtvs8=")</f>
        <v>#VALUE!</v>
      </c>
      <c r="HA1" t="e">
        <f>AND('Prezračevanje '!C13,"AAAAAHrtvtA=")</f>
        <v>#VALUE!</v>
      </c>
      <c r="HB1" t="e">
        <f>AND('Prezračevanje '!D13,"AAAAAHrtvtE=")</f>
        <v>#VALUE!</v>
      </c>
      <c r="HC1" t="e">
        <f>AND('Prezračevanje '!E13,"AAAAAHrtvtI=")</f>
        <v>#VALUE!</v>
      </c>
      <c r="HD1" t="e">
        <f>AND('Prezračevanje '!F13,"AAAAAHrtvtM=")</f>
        <v>#VALUE!</v>
      </c>
      <c r="HE1" t="e">
        <f>AND('Prezračevanje '!G13,"AAAAAHrtvtQ=")</f>
        <v>#VALUE!</v>
      </c>
      <c r="HF1" t="e">
        <f>AND('Prezračevanje '!H13,"AAAAAHrtvtU=")</f>
        <v>#VALUE!</v>
      </c>
      <c r="HG1" t="e">
        <f>AND('Prezračevanje '!I13,"AAAAAHrtvtY=")</f>
        <v>#VALUE!</v>
      </c>
      <c r="HH1" t="e">
        <f>AND('Prezračevanje '!J13,"AAAAAHrtvtc=")</f>
        <v>#VALUE!</v>
      </c>
      <c r="HI1">
        <f>IF('Prezračevanje '!14:14,"AAAAAHrtvtg=",0)</f>
        <v>0</v>
      </c>
      <c r="HJ1" t="e">
        <f>AND('Prezračevanje '!A14,"AAAAAHrtvtk=")</f>
        <v>#VALUE!</v>
      </c>
      <c r="HK1" t="e">
        <f>AND('Prezračevanje '!B14,"AAAAAHrtvto=")</f>
        <v>#VALUE!</v>
      </c>
      <c r="HL1" t="e">
        <f>AND('Prezračevanje '!C14,"AAAAAHrtvts=")</f>
        <v>#VALUE!</v>
      </c>
      <c r="HM1" t="e">
        <f>AND('Prezračevanje '!D14,"AAAAAHrtvtw=")</f>
        <v>#VALUE!</v>
      </c>
      <c r="HN1" t="e">
        <f>AND('Prezračevanje '!E14,"AAAAAHrtvt0=")</f>
        <v>#VALUE!</v>
      </c>
      <c r="HO1" t="e">
        <f>AND('Prezračevanje '!F14,"AAAAAHrtvt4=")</f>
        <v>#VALUE!</v>
      </c>
      <c r="HP1" t="e">
        <f>AND('Prezračevanje '!G14,"AAAAAHrtvt8=")</f>
        <v>#VALUE!</v>
      </c>
      <c r="HQ1" t="e">
        <f>AND('Prezračevanje '!H14,"AAAAAHrtvuA=")</f>
        <v>#VALUE!</v>
      </c>
      <c r="HR1" t="e">
        <f>AND('Prezračevanje '!I14,"AAAAAHrtvuE=")</f>
        <v>#VALUE!</v>
      </c>
      <c r="HS1" t="e">
        <f>AND('Prezračevanje '!J14,"AAAAAHrtvuI=")</f>
        <v>#VALUE!</v>
      </c>
      <c r="HT1">
        <f>IF('Prezračevanje '!15:15,"AAAAAHrtvuM=",0)</f>
        <v>0</v>
      </c>
      <c r="HU1" t="e">
        <f>AND('Prezračevanje '!A15,"AAAAAHrtvuQ=")</f>
        <v>#VALUE!</v>
      </c>
      <c r="HV1" t="e">
        <f>AND('Prezračevanje '!B15,"AAAAAHrtvuU=")</f>
        <v>#VALUE!</v>
      </c>
      <c r="HW1" t="e">
        <f>AND('Prezračevanje '!C15,"AAAAAHrtvuY=")</f>
        <v>#VALUE!</v>
      </c>
      <c r="HX1" t="e">
        <f>AND('Prezračevanje '!D15,"AAAAAHrtvuc=")</f>
        <v>#VALUE!</v>
      </c>
      <c r="HY1" t="e">
        <f>AND('Prezračevanje '!E15,"AAAAAHrtvug=")</f>
        <v>#VALUE!</v>
      </c>
      <c r="HZ1" t="e">
        <f>AND('Prezračevanje '!F15,"AAAAAHrtvuk=")</f>
        <v>#VALUE!</v>
      </c>
      <c r="IA1" t="e">
        <f>AND('Prezračevanje '!G15,"AAAAAHrtvuo=")</f>
        <v>#VALUE!</v>
      </c>
      <c r="IB1" t="e">
        <f>AND('Prezračevanje '!H15,"AAAAAHrtvus=")</f>
        <v>#VALUE!</v>
      </c>
      <c r="IC1" t="e">
        <f>AND('Prezračevanje '!I15,"AAAAAHrtvuw=")</f>
        <v>#VALUE!</v>
      </c>
      <c r="ID1" t="e">
        <f>AND('Prezračevanje '!J15,"AAAAAHrtvu0=")</f>
        <v>#VALUE!</v>
      </c>
      <c r="IE1">
        <f>IF('Prezračevanje '!16:16,"AAAAAHrtvu4=",0)</f>
        <v>0</v>
      </c>
      <c r="IF1" t="e">
        <f>AND('Prezračevanje '!A16,"AAAAAHrtvu8=")</f>
        <v>#VALUE!</v>
      </c>
      <c r="IG1" t="e">
        <f>AND('Prezračevanje '!B16,"AAAAAHrtvvA=")</f>
        <v>#VALUE!</v>
      </c>
      <c r="IH1" t="e">
        <f>AND('Prezračevanje '!C16,"AAAAAHrtvvE=")</f>
        <v>#VALUE!</v>
      </c>
      <c r="II1" t="e">
        <f>AND('Prezračevanje '!D16,"AAAAAHrtvvI=")</f>
        <v>#VALUE!</v>
      </c>
      <c r="IJ1" t="e">
        <f>AND('Prezračevanje '!E16,"AAAAAHrtvvM=")</f>
        <v>#VALUE!</v>
      </c>
      <c r="IK1" t="e">
        <f>AND('Prezračevanje '!F16,"AAAAAHrtvvQ=")</f>
        <v>#VALUE!</v>
      </c>
      <c r="IL1" t="e">
        <f>AND('Prezračevanje '!G16,"AAAAAHrtvvU=")</f>
        <v>#VALUE!</v>
      </c>
      <c r="IM1" t="e">
        <f>AND('Prezračevanje '!H16,"AAAAAHrtvvY=")</f>
        <v>#VALUE!</v>
      </c>
      <c r="IN1" t="e">
        <f>AND('Prezračevanje '!I16,"AAAAAHrtvvc=")</f>
        <v>#VALUE!</v>
      </c>
      <c r="IO1" t="e">
        <f>AND('Prezračevanje '!J16,"AAAAAHrtvvg=")</f>
        <v>#VALUE!</v>
      </c>
      <c r="IP1">
        <f>IF('Prezračevanje '!17:17,"AAAAAHrtvvk=",0)</f>
        <v>0</v>
      </c>
      <c r="IQ1" t="e">
        <f>AND('Prezračevanje '!A17,"AAAAAHrtvvo=")</f>
        <v>#VALUE!</v>
      </c>
      <c r="IR1" t="e">
        <f>AND('Prezračevanje '!B17,"AAAAAHrtvvs=")</f>
        <v>#VALUE!</v>
      </c>
      <c r="IS1" t="e">
        <f>AND('Prezračevanje '!C17,"AAAAAHrtvvw=")</f>
        <v>#VALUE!</v>
      </c>
      <c r="IT1" t="e">
        <f>AND('Prezračevanje '!D17,"AAAAAHrtvv0=")</f>
        <v>#VALUE!</v>
      </c>
      <c r="IU1" t="e">
        <f>AND('Prezračevanje '!E17,"AAAAAHrtvv4=")</f>
        <v>#VALUE!</v>
      </c>
      <c r="IV1" t="e">
        <f>AND('Prezračevanje '!F17,"AAAAAHrtvv8=")</f>
        <v>#VALUE!</v>
      </c>
    </row>
    <row r="2" spans="1:256" ht="12.75">
      <c r="A2" t="e">
        <f>AND('Prezračevanje '!G17,"AAAAAH7/XwA=")</f>
        <v>#VALUE!</v>
      </c>
      <c r="B2" t="e">
        <f>AND('Prezračevanje '!H17,"AAAAAH7/XwE=")</f>
        <v>#VALUE!</v>
      </c>
      <c r="C2" t="e">
        <f>AND('Prezračevanje '!I17,"AAAAAH7/XwI=")</f>
        <v>#VALUE!</v>
      </c>
      <c r="D2" t="e">
        <f>AND('Prezračevanje '!J17,"AAAAAH7/XwM=")</f>
        <v>#VALUE!</v>
      </c>
      <c r="E2">
        <f>IF('Prezračevanje '!18:18,"AAAAAH7/XwQ=",0)</f>
        <v>0</v>
      </c>
      <c r="F2" t="e">
        <f>AND('Prezračevanje '!A18,"AAAAAH7/XwU=")</f>
        <v>#VALUE!</v>
      </c>
      <c r="G2" t="e">
        <f>AND('Prezračevanje '!B18,"AAAAAH7/XwY=")</f>
        <v>#VALUE!</v>
      </c>
      <c r="H2" t="e">
        <f>AND('Prezračevanje '!C18,"AAAAAH7/Xwc=")</f>
        <v>#VALUE!</v>
      </c>
      <c r="I2" t="e">
        <f>AND('Prezračevanje '!D18,"AAAAAH7/Xwg=")</f>
        <v>#VALUE!</v>
      </c>
      <c r="J2" t="e">
        <f>AND('Prezračevanje '!E18,"AAAAAH7/Xwk=")</f>
        <v>#VALUE!</v>
      </c>
      <c r="K2" t="e">
        <f>AND('Prezračevanje '!F18,"AAAAAH7/Xwo=")</f>
        <v>#VALUE!</v>
      </c>
      <c r="L2" t="e">
        <f>AND('Prezračevanje '!G18,"AAAAAH7/Xws=")</f>
        <v>#VALUE!</v>
      </c>
      <c r="M2" t="e">
        <f>AND('Prezračevanje '!H18,"AAAAAH7/Xww=")</f>
        <v>#VALUE!</v>
      </c>
      <c r="N2" t="e">
        <f>AND('Prezračevanje '!I18,"AAAAAH7/Xw0=")</f>
        <v>#VALUE!</v>
      </c>
      <c r="O2" t="e">
        <f>AND('Prezračevanje '!J18,"AAAAAH7/Xw4=")</f>
        <v>#VALUE!</v>
      </c>
      <c r="P2">
        <f>IF('Prezračevanje '!19:19,"AAAAAH7/Xw8=",0)</f>
        <v>0</v>
      </c>
      <c r="Q2" t="e">
        <f>AND('Prezračevanje '!A19,"AAAAAH7/XxA=")</f>
        <v>#VALUE!</v>
      </c>
      <c r="R2" t="e">
        <f>AND('Prezračevanje '!B19,"AAAAAH7/XxE=")</f>
        <v>#VALUE!</v>
      </c>
      <c r="S2" t="e">
        <f>AND('Prezračevanje '!C19,"AAAAAH7/XxI=")</f>
        <v>#VALUE!</v>
      </c>
      <c r="T2" t="e">
        <f>AND('Prezračevanje '!D19,"AAAAAH7/XxM=")</f>
        <v>#VALUE!</v>
      </c>
      <c r="U2" t="e">
        <f>AND('Prezračevanje '!E19,"AAAAAH7/XxQ=")</f>
        <v>#VALUE!</v>
      </c>
      <c r="V2" t="e">
        <f>AND('Prezračevanje '!F19,"AAAAAH7/XxU=")</f>
        <v>#VALUE!</v>
      </c>
      <c r="W2" t="e">
        <f>AND('Prezračevanje '!G19,"AAAAAH7/XxY=")</f>
        <v>#VALUE!</v>
      </c>
      <c r="X2" t="e">
        <f>AND('Prezračevanje '!H19,"AAAAAH7/Xxc=")</f>
        <v>#VALUE!</v>
      </c>
      <c r="Y2" t="e">
        <f>AND('Prezračevanje '!I19,"AAAAAH7/Xxg=")</f>
        <v>#VALUE!</v>
      </c>
      <c r="Z2" t="e">
        <f>AND('Prezračevanje '!J19,"AAAAAH7/Xxk=")</f>
        <v>#VALUE!</v>
      </c>
      <c r="AA2">
        <f>IF('Prezračevanje '!20:20,"AAAAAH7/Xxo=",0)</f>
        <v>0</v>
      </c>
      <c r="AB2" t="e">
        <f>AND('Prezračevanje '!A20,"AAAAAH7/Xxs=")</f>
        <v>#VALUE!</v>
      </c>
      <c r="AC2" t="e">
        <f>AND('Prezračevanje '!B20,"AAAAAH7/Xxw=")</f>
        <v>#VALUE!</v>
      </c>
      <c r="AD2" t="e">
        <f>AND('Prezračevanje '!C20,"AAAAAH7/Xx0=")</f>
        <v>#VALUE!</v>
      </c>
      <c r="AE2" t="e">
        <f>AND('Prezračevanje '!D20,"AAAAAH7/Xx4=")</f>
        <v>#VALUE!</v>
      </c>
      <c r="AF2" t="e">
        <f>AND('Prezračevanje '!E20,"AAAAAH7/Xx8=")</f>
        <v>#VALUE!</v>
      </c>
      <c r="AG2" t="e">
        <f>AND('Prezračevanje '!F20,"AAAAAH7/XyA=")</f>
        <v>#VALUE!</v>
      </c>
      <c r="AH2" t="e">
        <f>AND('Prezračevanje '!G20,"AAAAAH7/XyE=")</f>
        <v>#VALUE!</v>
      </c>
      <c r="AI2" t="e">
        <f>AND('Prezračevanje '!H20,"AAAAAH7/XyI=")</f>
        <v>#VALUE!</v>
      </c>
      <c r="AJ2" t="e">
        <f>AND('Prezračevanje '!I20,"AAAAAH7/XyM=")</f>
        <v>#VALUE!</v>
      </c>
      <c r="AK2" t="e">
        <f>AND('Prezračevanje '!J20,"AAAAAH7/XyQ=")</f>
        <v>#VALUE!</v>
      </c>
      <c r="AL2">
        <f>IF('Prezračevanje '!21:21,"AAAAAH7/XyU=",0)</f>
        <v>0</v>
      </c>
      <c r="AM2" t="e">
        <f>AND('Prezračevanje '!A21,"AAAAAH7/XyY=")</f>
        <v>#VALUE!</v>
      </c>
      <c r="AN2" t="e">
        <f>AND('Prezračevanje '!B21,"AAAAAH7/Xyc=")</f>
        <v>#VALUE!</v>
      </c>
      <c r="AO2" t="e">
        <f>AND('Prezračevanje '!C21,"AAAAAH7/Xyg=")</f>
        <v>#VALUE!</v>
      </c>
      <c r="AP2" t="e">
        <f>AND('Prezračevanje '!D21,"AAAAAH7/Xyk=")</f>
        <v>#VALUE!</v>
      </c>
      <c r="AQ2" t="e">
        <f>AND('Prezračevanje '!E21,"AAAAAH7/Xyo=")</f>
        <v>#VALUE!</v>
      </c>
      <c r="AR2" t="e">
        <f>AND('Prezračevanje '!F21,"AAAAAH7/Xys=")</f>
        <v>#VALUE!</v>
      </c>
      <c r="AS2" t="e">
        <f>AND('Prezračevanje '!G21,"AAAAAH7/Xyw=")</f>
        <v>#VALUE!</v>
      </c>
      <c r="AT2" t="e">
        <f>AND('Prezračevanje '!H21,"AAAAAH7/Xy0=")</f>
        <v>#VALUE!</v>
      </c>
      <c r="AU2" t="e">
        <f>AND('Prezračevanje '!I21,"AAAAAH7/Xy4=")</f>
        <v>#VALUE!</v>
      </c>
      <c r="AV2" t="e">
        <f>AND('Prezračevanje '!J21,"AAAAAH7/Xy8=")</f>
        <v>#VALUE!</v>
      </c>
      <c r="AW2">
        <f>IF('Prezračevanje '!22:22,"AAAAAH7/XzA=",0)</f>
        <v>0</v>
      </c>
      <c r="AX2" t="e">
        <f>AND('Prezračevanje '!A22,"AAAAAH7/XzE=")</f>
        <v>#VALUE!</v>
      </c>
      <c r="AY2" t="e">
        <f>AND('Prezračevanje '!B22,"AAAAAH7/XzI=")</f>
        <v>#VALUE!</v>
      </c>
      <c r="AZ2" t="e">
        <f>AND('Prezračevanje '!C22,"AAAAAH7/XzM=")</f>
        <v>#VALUE!</v>
      </c>
      <c r="BA2" t="e">
        <f>AND('Prezračevanje '!D22,"AAAAAH7/XzQ=")</f>
        <v>#VALUE!</v>
      </c>
      <c r="BB2" t="e">
        <f>AND('Prezračevanje '!E22,"AAAAAH7/XzU=")</f>
        <v>#VALUE!</v>
      </c>
      <c r="BC2" t="e">
        <f>AND('Prezračevanje '!F22,"AAAAAH7/XzY=")</f>
        <v>#VALUE!</v>
      </c>
      <c r="BD2" t="e">
        <f>AND('Prezračevanje '!G22,"AAAAAH7/Xzc=")</f>
        <v>#VALUE!</v>
      </c>
      <c r="BE2" t="e">
        <f>AND('Prezračevanje '!H22,"AAAAAH7/Xzg=")</f>
        <v>#VALUE!</v>
      </c>
      <c r="BF2" t="e">
        <f>AND('Prezračevanje '!I22,"AAAAAH7/Xzk=")</f>
        <v>#VALUE!</v>
      </c>
      <c r="BG2" t="e">
        <f>AND('Prezračevanje '!J22,"AAAAAH7/Xzo=")</f>
        <v>#VALUE!</v>
      </c>
      <c r="BH2">
        <f>IF('Prezračevanje '!23:23,"AAAAAH7/Xzs=",0)</f>
        <v>0</v>
      </c>
      <c r="BI2" t="e">
        <f>AND('Prezračevanje '!A23,"AAAAAH7/Xzw=")</f>
        <v>#VALUE!</v>
      </c>
      <c r="BJ2" t="e">
        <f>AND('Prezračevanje '!B23,"AAAAAH7/Xz0=")</f>
        <v>#VALUE!</v>
      </c>
      <c r="BK2" t="e">
        <f>AND('Prezračevanje '!C23,"AAAAAH7/Xz4=")</f>
        <v>#VALUE!</v>
      </c>
      <c r="BL2" t="e">
        <f>AND('Prezračevanje '!D23,"AAAAAH7/Xz8=")</f>
        <v>#VALUE!</v>
      </c>
      <c r="BM2" t="e">
        <f>AND('Prezračevanje '!E23,"AAAAAH7/X0A=")</f>
        <v>#VALUE!</v>
      </c>
      <c r="BN2" t="e">
        <f>AND('Prezračevanje '!F23,"AAAAAH7/X0E=")</f>
        <v>#VALUE!</v>
      </c>
      <c r="BO2" t="e">
        <f>AND('Prezračevanje '!G23,"AAAAAH7/X0I=")</f>
        <v>#VALUE!</v>
      </c>
      <c r="BP2" t="e">
        <f>AND('Prezračevanje '!H23,"AAAAAH7/X0M=")</f>
        <v>#VALUE!</v>
      </c>
      <c r="BQ2" t="e">
        <f>AND('Prezračevanje '!I23,"AAAAAH7/X0Q=")</f>
        <v>#VALUE!</v>
      </c>
      <c r="BR2" t="e">
        <f>AND('Prezračevanje '!J23,"AAAAAH7/X0U=")</f>
        <v>#VALUE!</v>
      </c>
      <c r="BS2">
        <f>IF('Prezračevanje '!24:24,"AAAAAH7/X0Y=",0)</f>
        <v>0</v>
      </c>
      <c r="BT2" t="e">
        <f>AND('Prezračevanje '!A24,"AAAAAH7/X0c=")</f>
        <v>#VALUE!</v>
      </c>
      <c r="BU2" t="e">
        <f>AND('Prezračevanje '!B24,"AAAAAH7/X0g=")</f>
        <v>#VALUE!</v>
      </c>
      <c r="BV2" t="e">
        <f>AND('Prezračevanje '!C24,"AAAAAH7/X0k=")</f>
        <v>#VALUE!</v>
      </c>
      <c r="BW2" t="e">
        <f>AND('Prezračevanje '!D24,"AAAAAH7/X0o=")</f>
        <v>#VALUE!</v>
      </c>
      <c r="BX2" t="e">
        <f>AND('Prezračevanje '!E24,"AAAAAH7/X0s=")</f>
        <v>#VALUE!</v>
      </c>
      <c r="BY2" t="e">
        <f>AND('Prezračevanje '!F24,"AAAAAH7/X0w=")</f>
        <v>#VALUE!</v>
      </c>
      <c r="BZ2" t="e">
        <f>AND('Prezračevanje '!G24,"AAAAAH7/X00=")</f>
        <v>#VALUE!</v>
      </c>
      <c r="CA2" t="e">
        <f>AND('Prezračevanje '!H24,"AAAAAH7/X04=")</f>
        <v>#VALUE!</v>
      </c>
      <c r="CB2" t="e">
        <f>AND('Prezračevanje '!I24,"AAAAAH7/X08=")</f>
        <v>#VALUE!</v>
      </c>
      <c r="CC2" t="e">
        <f>AND('Prezračevanje '!J24,"AAAAAH7/X1A=")</f>
        <v>#VALUE!</v>
      </c>
      <c r="CD2">
        <f>IF('Prezračevanje '!25:25,"AAAAAH7/X1E=",0)</f>
        <v>0</v>
      </c>
      <c r="CE2" t="e">
        <f>AND('Prezračevanje '!A25,"AAAAAH7/X1I=")</f>
        <v>#VALUE!</v>
      </c>
      <c r="CF2" t="e">
        <f>AND('Prezračevanje '!B25,"AAAAAH7/X1M=")</f>
        <v>#VALUE!</v>
      </c>
      <c r="CG2" t="e">
        <f>AND('Prezračevanje '!C25,"AAAAAH7/X1Q=")</f>
        <v>#VALUE!</v>
      </c>
      <c r="CH2" t="e">
        <f>AND('Prezračevanje '!D25,"AAAAAH7/X1U=")</f>
        <v>#VALUE!</v>
      </c>
      <c r="CI2" t="e">
        <f>AND('Prezračevanje '!E25,"AAAAAH7/X1Y=")</f>
        <v>#VALUE!</v>
      </c>
      <c r="CJ2" t="e">
        <f>AND('Prezračevanje '!F25,"AAAAAH7/X1c=")</f>
        <v>#VALUE!</v>
      </c>
      <c r="CK2" t="e">
        <f>AND('Prezračevanje '!G25,"AAAAAH7/X1g=")</f>
        <v>#VALUE!</v>
      </c>
      <c r="CL2" t="e">
        <f>AND('Prezračevanje '!H25,"AAAAAH7/X1k=")</f>
        <v>#VALUE!</v>
      </c>
      <c r="CM2" t="e">
        <f>AND('Prezračevanje '!I25,"AAAAAH7/X1o=")</f>
        <v>#VALUE!</v>
      </c>
      <c r="CN2" t="e">
        <f>AND('Prezračevanje '!J25,"AAAAAH7/X1s=")</f>
        <v>#VALUE!</v>
      </c>
      <c r="CO2">
        <f>IF('Prezračevanje '!26:26,"AAAAAH7/X1w=",0)</f>
        <v>0</v>
      </c>
      <c r="CP2" t="e">
        <f>AND('Prezračevanje '!A26,"AAAAAH7/X10=")</f>
        <v>#VALUE!</v>
      </c>
      <c r="CQ2" t="e">
        <f>AND('Prezračevanje '!B26,"AAAAAH7/X14=")</f>
        <v>#VALUE!</v>
      </c>
      <c r="CR2" t="e">
        <f>AND('Prezračevanje '!C26,"AAAAAH7/X18=")</f>
        <v>#VALUE!</v>
      </c>
      <c r="CS2" t="e">
        <f>AND('Prezračevanje '!D26,"AAAAAH7/X2A=")</f>
        <v>#VALUE!</v>
      </c>
      <c r="CT2" t="e">
        <f>AND('Prezračevanje '!E26,"AAAAAH7/X2E=")</f>
        <v>#VALUE!</v>
      </c>
      <c r="CU2" t="e">
        <f>AND('Prezračevanje '!F26,"AAAAAH7/X2I=")</f>
        <v>#VALUE!</v>
      </c>
      <c r="CV2" t="e">
        <f>AND('Prezračevanje '!G26,"AAAAAH7/X2M=")</f>
        <v>#VALUE!</v>
      </c>
      <c r="CW2" t="e">
        <f>AND('Prezračevanje '!H26,"AAAAAH7/X2Q=")</f>
        <v>#VALUE!</v>
      </c>
      <c r="CX2" t="e">
        <f>AND('Prezračevanje '!I26,"AAAAAH7/X2U=")</f>
        <v>#VALUE!</v>
      </c>
      <c r="CY2" t="e">
        <f>AND('Prezračevanje '!J26,"AAAAAH7/X2Y=")</f>
        <v>#VALUE!</v>
      </c>
      <c r="CZ2">
        <f>IF('Prezračevanje '!27:27,"AAAAAH7/X2c=",0)</f>
        <v>0</v>
      </c>
      <c r="DA2" t="e">
        <f>AND('Prezračevanje '!A27,"AAAAAH7/X2g=")</f>
        <v>#VALUE!</v>
      </c>
      <c r="DB2" t="e">
        <f>AND('Prezračevanje '!B27,"AAAAAH7/X2k=")</f>
        <v>#VALUE!</v>
      </c>
      <c r="DC2" t="e">
        <f>AND('Prezračevanje '!C27,"AAAAAH7/X2o=")</f>
        <v>#VALUE!</v>
      </c>
      <c r="DD2" t="e">
        <f>AND('Prezračevanje '!D27,"AAAAAH7/X2s=")</f>
        <v>#VALUE!</v>
      </c>
      <c r="DE2" t="e">
        <f>AND('Prezračevanje '!E27,"AAAAAH7/X2w=")</f>
        <v>#VALUE!</v>
      </c>
      <c r="DF2" t="e">
        <f>AND('Prezračevanje '!F27,"AAAAAH7/X20=")</f>
        <v>#VALUE!</v>
      </c>
      <c r="DG2" t="e">
        <f>AND('Prezračevanje '!G27,"AAAAAH7/X24=")</f>
        <v>#VALUE!</v>
      </c>
      <c r="DH2" t="e">
        <f>AND('Prezračevanje '!H27,"AAAAAH7/X28=")</f>
        <v>#VALUE!</v>
      </c>
      <c r="DI2" t="e">
        <f>AND('Prezračevanje '!I27,"AAAAAH7/X3A=")</f>
        <v>#VALUE!</v>
      </c>
      <c r="DJ2" t="e">
        <f>AND('Prezračevanje '!J27,"AAAAAH7/X3E=")</f>
        <v>#VALUE!</v>
      </c>
      <c r="DK2">
        <f>IF('Prezračevanje '!28:28,"AAAAAH7/X3I=",0)</f>
        <v>0</v>
      </c>
      <c r="DL2" t="e">
        <f>AND('Prezračevanje '!A28,"AAAAAH7/X3M=")</f>
        <v>#VALUE!</v>
      </c>
      <c r="DM2" t="e">
        <f>AND('Prezračevanje '!B28,"AAAAAH7/X3Q=")</f>
        <v>#VALUE!</v>
      </c>
      <c r="DN2" t="e">
        <f>AND('Prezračevanje '!C28,"AAAAAH7/X3U=")</f>
        <v>#VALUE!</v>
      </c>
      <c r="DO2" t="e">
        <f>AND('Prezračevanje '!D28,"AAAAAH7/X3Y=")</f>
        <v>#VALUE!</v>
      </c>
      <c r="DP2" t="e">
        <f>AND('Prezračevanje '!E28,"AAAAAH7/X3c=")</f>
        <v>#VALUE!</v>
      </c>
      <c r="DQ2" t="e">
        <f>AND('Prezračevanje '!F28,"AAAAAH7/X3g=")</f>
        <v>#VALUE!</v>
      </c>
      <c r="DR2" t="e">
        <f>AND('Prezračevanje '!G28,"AAAAAH7/X3k=")</f>
        <v>#VALUE!</v>
      </c>
      <c r="DS2" t="e">
        <f>AND('Prezračevanje '!H28,"AAAAAH7/X3o=")</f>
        <v>#VALUE!</v>
      </c>
      <c r="DT2" t="e">
        <f>AND('Prezračevanje '!I28,"AAAAAH7/X3s=")</f>
        <v>#VALUE!</v>
      </c>
      <c r="DU2" t="e">
        <f>AND('Prezračevanje '!J28,"AAAAAH7/X3w=")</f>
        <v>#VALUE!</v>
      </c>
      <c r="DV2">
        <f>IF('Prezračevanje '!29:29,"AAAAAH7/X30=",0)</f>
        <v>0</v>
      </c>
      <c r="DW2" t="e">
        <f>AND('Prezračevanje '!A29,"AAAAAH7/X34=")</f>
        <v>#VALUE!</v>
      </c>
      <c r="DX2" t="e">
        <f>AND('Prezračevanje '!B29,"AAAAAH7/X38=")</f>
        <v>#VALUE!</v>
      </c>
      <c r="DY2" t="e">
        <f>AND('Prezračevanje '!C29,"AAAAAH7/X4A=")</f>
        <v>#VALUE!</v>
      </c>
      <c r="DZ2" t="e">
        <f>AND('Prezračevanje '!D29,"AAAAAH7/X4E=")</f>
        <v>#VALUE!</v>
      </c>
      <c r="EA2" t="e">
        <f>AND('Prezračevanje '!E29,"AAAAAH7/X4I=")</f>
        <v>#VALUE!</v>
      </c>
      <c r="EB2" t="e">
        <f>AND('Prezračevanje '!F29,"AAAAAH7/X4M=")</f>
        <v>#VALUE!</v>
      </c>
      <c r="EC2" t="e">
        <f>AND('Prezračevanje '!G29,"AAAAAH7/X4Q=")</f>
        <v>#VALUE!</v>
      </c>
      <c r="ED2" t="e">
        <f>AND('Prezračevanje '!H29,"AAAAAH7/X4U=")</f>
        <v>#VALUE!</v>
      </c>
      <c r="EE2" t="e">
        <f>AND('Prezračevanje '!I29,"AAAAAH7/X4Y=")</f>
        <v>#VALUE!</v>
      </c>
      <c r="EF2" t="e">
        <f>AND('Prezračevanje '!J29,"AAAAAH7/X4c=")</f>
        <v>#VALUE!</v>
      </c>
      <c r="EG2">
        <f>IF('Prezračevanje '!30:30,"AAAAAH7/X4g=",0)</f>
        <v>0</v>
      </c>
      <c r="EH2" t="e">
        <f>AND('Prezračevanje '!A30,"AAAAAH7/X4k=")</f>
        <v>#VALUE!</v>
      </c>
      <c r="EI2" t="e">
        <f>AND('Prezračevanje '!B30,"AAAAAH7/X4o=")</f>
        <v>#VALUE!</v>
      </c>
      <c r="EJ2" t="e">
        <f>AND('Prezračevanje '!C30,"AAAAAH7/X4s=")</f>
        <v>#VALUE!</v>
      </c>
      <c r="EK2" t="e">
        <f>AND('Prezračevanje '!D30,"AAAAAH7/X4w=")</f>
        <v>#VALUE!</v>
      </c>
      <c r="EL2" t="e">
        <f>AND('Prezračevanje '!E30,"AAAAAH7/X40=")</f>
        <v>#VALUE!</v>
      </c>
      <c r="EM2" t="e">
        <f>AND('Prezračevanje '!F30,"AAAAAH7/X44=")</f>
        <v>#VALUE!</v>
      </c>
      <c r="EN2" t="e">
        <f>AND('Prezračevanje '!G30,"AAAAAH7/X48=")</f>
        <v>#VALUE!</v>
      </c>
      <c r="EO2" t="e">
        <f>AND('Prezračevanje '!H30,"AAAAAH7/X5A=")</f>
        <v>#VALUE!</v>
      </c>
      <c r="EP2" t="e">
        <f>AND('Prezračevanje '!I30,"AAAAAH7/X5E=")</f>
        <v>#VALUE!</v>
      </c>
      <c r="EQ2" t="e">
        <f>AND('Prezračevanje '!J30,"AAAAAH7/X5I=")</f>
        <v>#VALUE!</v>
      </c>
      <c r="ER2">
        <f>IF('Prezračevanje '!31:31,"AAAAAH7/X5M=",0)</f>
        <v>0</v>
      </c>
      <c r="ES2" t="e">
        <f>AND('Prezračevanje '!A31,"AAAAAH7/X5Q=")</f>
        <v>#VALUE!</v>
      </c>
      <c r="ET2" t="e">
        <f>AND('Prezračevanje '!B31,"AAAAAH7/X5U=")</f>
        <v>#VALUE!</v>
      </c>
      <c r="EU2" t="e">
        <f>AND('Prezračevanje '!C31,"AAAAAH7/X5Y=")</f>
        <v>#VALUE!</v>
      </c>
      <c r="EV2" t="e">
        <f>AND('Prezračevanje '!D31,"AAAAAH7/X5c=")</f>
        <v>#VALUE!</v>
      </c>
      <c r="EW2" t="e">
        <f>AND('Prezračevanje '!E31,"AAAAAH7/X5g=")</f>
        <v>#VALUE!</v>
      </c>
      <c r="EX2" t="e">
        <f>AND('Prezračevanje '!F31,"AAAAAH7/X5k=")</f>
        <v>#VALUE!</v>
      </c>
      <c r="EY2" t="e">
        <f>AND('Prezračevanje '!G31,"AAAAAH7/X5o=")</f>
        <v>#VALUE!</v>
      </c>
      <c r="EZ2" t="e">
        <f>AND('Prezračevanje '!H31,"AAAAAH7/X5s=")</f>
        <v>#VALUE!</v>
      </c>
      <c r="FA2" t="e">
        <f>AND('Prezračevanje '!I31,"AAAAAH7/X5w=")</f>
        <v>#VALUE!</v>
      </c>
      <c r="FB2" t="e">
        <f>AND('Prezračevanje '!J31,"AAAAAH7/X50=")</f>
        <v>#VALUE!</v>
      </c>
      <c r="FC2">
        <f>IF('Prezračevanje '!32:32,"AAAAAH7/X54=",0)</f>
        <v>0</v>
      </c>
      <c r="FD2" t="e">
        <f>AND('Prezračevanje '!A32,"AAAAAH7/X58=")</f>
        <v>#VALUE!</v>
      </c>
      <c r="FE2" t="e">
        <f>AND('Prezračevanje '!B32,"AAAAAH7/X6A=")</f>
        <v>#VALUE!</v>
      </c>
      <c r="FF2" t="e">
        <f>AND('Prezračevanje '!C32,"AAAAAH7/X6E=")</f>
        <v>#VALUE!</v>
      </c>
      <c r="FG2" t="e">
        <f>AND('Prezračevanje '!D32,"AAAAAH7/X6I=")</f>
        <v>#VALUE!</v>
      </c>
      <c r="FH2" t="e">
        <f>AND('Prezračevanje '!E32,"AAAAAH7/X6M=")</f>
        <v>#VALUE!</v>
      </c>
      <c r="FI2" t="e">
        <f>AND('Prezračevanje '!F32,"AAAAAH7/X6Q=")</f>
        <v>#VALUE!</v>
      </c>
      <c r="FJ2" t="e">
        <f>AND('Prezračevanje '!G32,"AAAAAH7/X6U=")</f>
        <v>#VALUE!</v>
      </c>
      <c r="FK2" t="e">
        <f>AND('Prezračevanje '!H32,"AAAAAH7/X6Y=")</f>
        <v>#VALUE!</v>
      </c>
      <c r="FL2" t="e">
        <f>AND('Prezračevanje '!I32,"AAAAAH7/X6c=")</f>
        <v>#VALUE!</v>
      </c>
      <c r="FM2" t="e">
        <f>AND('Prezračevanje '!J32,"AAAAAH7/X6g=")</f>
        <v>#VALUE!</v>
      </c>
      <c r="FN2">
        <f>IF('Prezračevanje '!33:33,"AAAAAH7/X6k=",0)</f>
        <v>0</v>
      </c>
      <c r="FO2" t="e">
        <f>AND('Prezračevanje '!A33,"AAAAAH7/X6o=")</f>
        <v>#VALUE!</v>
      </c>
      <c r="FP2" t="e">
        <f>AND('Prezračevanje '!B33,"AAAAAH7/X6s=")</f>
        <v>#VALUE!</v>
      </c>
      <c r="FQ2" t="e">
        <f>AND('Prezračevanje '!C33,"AAAAAH7/X6w=")</f>
        <v>#VALUE!</v>
      </c>
      <c r="FR2" t="e">
        <f>AND('Prezračevanje '!D33,"AAAAAH7/X60=")</f>
        <v>#VALUE!</v>
      </c>
      <c r="FS2" t="e">
        <f>AND('Prezračevanje '!E33,"AAAAAH7/X64=")</f>
        <v>#VALUE!</v>
      </c>
      <c r="FT2" t="e">
        <f>AND('Prezračevanje '!F33,"AAAAAH7/X68=")</f>
        <v>#VALUE!</v>
      </c>
      <c r="FU2" t="e">
        <f>AND('Prezračevanje '!G33,"AAAAAH7/X7A=")</f>
        <v>#VALUE!</v>
      </c>
      <c r="FV2" t="e">
        <f>AND('Prezračevanje '!H33,"AAAAAH7/X7E=")</f>
        <v>#VALUE!</v>
      </c>
      <c r="FW2" t="e">
        <f>AND('Prezračevanje '!I33,"AAAAAH7/X7I=")</f>
        <v>#VALUE!</v>
      </c>
      <c r="FX2" t="e">
        <f>AND('Prezračevanje '!J33,"AAAAAH7/X7M=")</f>
        <v>#VALUE!</v>
      </c>
      <c r="FY2">
        <f>IF('Prezračevanje '!34:34,"AAAAAH7/X7Q=",0)</f>
        <v>0</v>
      </c>
      <c r="FZ2" t="e">
        <f>AND('Prezračevanje '!A34,"AAAAAH7/X7U=")</f>
        <v>#VALUE!</v>
      </c>
      <c r="GA2" t="e">
        <f>AND('Prezračevanje '!B34,"AAAAAH7/X7Y=")</f>
        <v>#VALUE!</v>
      </c>
      <c r="GB2" t="e">
        <f>AND('Prezračevanje '!C34,"AAAAAH7/X7c=")</f>
        <v>#VALUE!</v>
      </c>
      <c r="GC2" t="e">
        <f>AND('Prezračevanje '!D34,"AAAAAH7/X7g=")</f>
        <v>#VALUE!</v>
      </c>
      <c r="GD2" t="e">
        <f>AND('Prezračevanje '!E34,"AAAAAH7/X7k=")</f>
        <v>#VALUE!</v>
      </c>
      <c r="GE2" t="e">
        <f>AND('Prezračevanje '!F34,"AAAAAH7/X7o=")</f>
        <v>#VALUE!</v>
      </c>
      <c r="GF2" t="e">
        <f>AND('Prezračevanje '!G34,"AAAAAH7/X7s=")</f>
        <v>#VALUE!</v>
      </c>
      <c r="GG2" t="e">
        <f>AND('Prezračevanje '!H34,"AAAAAH7/X7w=")</f>
        <v>#VALUE!</v>
      </c>
      <c r="GH2" t="e">
        <f>AND('Prezračevanje '!I34,"AAAAAH7/X70=")</f>
        <v>#VALUE!</v>
      </c>
      <c r="GI2" t="e">
        <f>AND('Prezračevanje '!J34,"AAAAAH7/X74=")</f>
        <v>#VALUE!</v>
      </c>
      <c r="GJ2">
        <f>IF('Prezračevanje '!35:35,"AAAAAH7/X78=",0)</f>
        <v>0</v>
      </c>
      <c r="GK2" t="e">
        <f>AND('Prezračevanje '!A35,"AAAAAH7/X8A=")</f>
        <v>#VALUE!</v>
      </c>
      <c r="GL2" t="e">
        <f>AND('Prezračevanje '!B35,"AAAAAH7/X8E=")</f>
        <v>#VALUE!</v>
      </c>
      <c r="GM2" t="e">
        <f>AND('Prezračevanje '!C35,"AAAAAH7/X8I=")</f>
        <v>#VALUE!</v>
      </c>
      <c r="GN2" t="e">
        <f>AND('Prezračevanje '!D35,"AAAAAH7/X8M=")</f>
        <v>#VALUE!</v>
      </c>
      <c r="GO2" t="e">
        <f>AND('Prezračevanje '!E35,"AAAAAH7/X8Q=")</f>
        <v>#VALUE!</v>
      </c>
      <c r="GP2" t="e">
        <f>AND('Prezračevanje '!F35,"AAAAAH7/X8U=")</f>
        <v>#VALUE!</v>
      </c>
      <c r="GQ2" t="e">
        <f>AND('Prezračevanje '!G35,"AAAAAH7/X8Y=")</f>
        <v>#VALUE!</v>
      </c>
      <c r="GR2" t="e">
        <f>AND('Prezračevanje '!H35,"AAAAAH7/X8c=")</f>
        <v>#VALUE!</v>
      </c>
      <c r="GS2" t="e">
        <f>AND('Prezračevanje '!I35,"AAAAAH7/X8g=")</f>
        <v>#VALUE!</v>
      </c>
      <c r="GT2" t="e">
        <f>AND('Prezračevanje '!J35,"AAAAAH7/X8k=")</f>
        <v>#VALUE!</v>
      </c>
      <c r="GU2">
        <f>IF('Prezračevanje '!36:36,"AAAAAH7/X8o=",0)</f>
        <v>0</v>
      </c>
      <c r="GV2" t="e">
        <f>AND('Prezračevanje '!A36,"AAAAAH7/X8s=")</f>
        <v>#VALUE!</v>
      </c>
      <c r="GW2" t="e">
        <f>AND('Prezračevanje '!B36,"AAAAAH7/X8w=")</f>
        <v>#VALUE!</v>
      </c>
      <c r="GX2" t="e">
        <f>AND('Prezračevanje '!C36,"AAAAAH7/X80=")</f>
        <v>#VALUE!</v>
      </c>
      <c r="GY2" t="e">
        <f>AND('Prezračevanje '!D36,"AAAAAH7/X84=")</f>
        <v>#VALUE!</v>
      </c>
      <c r="GZ2" t="e">
        <f>AND('Prezračevanje '!E36,"AAAAAH7/X88=")</f>
        <v>#VALUE!</v>
      </c>
      <c r="HA2" t="e">
        <f>AND('Prezračevanje '!F36,"AAAAAH7/X9A=")</f>
        <v>#VALUE!</v>
      </c>
      <c r="HB2" t="e">
        <f>AND('Prezračevanje '!G36,"AAAAAH7/X9E=")</f>
        <v>#VALUE!</v>
      </c>
      <c r="HC2" t="e">
        <f>AND('Prezračevanje '!H36,"AAAAAH7/X9I=")</f>
        <v>#VALUE!</v>
      </c>
      <c r="HD2" t="e">
        <f>AND('Prezračevanje '!I36,"AAAAAH7/X9M=")</f>
        <v>#VALUE!</v>
      </c>
      <c r="HE2" t="e">
        <f>AND('Prezračevanje '!J36,"AAAAAH7/X9Q=")</f>
        <v>#VALUE!</v>
      </c>
      <c r="HF2">
        <f>IF('Prezračevanje '!37:37,"AAAAAH7/X9U=",0)</f>
        <v>0</v>
      </c>
      <c r="HG2" t="e">
        <f>AND('Prezračevanje '!A37,"AAAAAH7/X9Y=")</f>
        <v>#VALUE!</v>
      </c>
      <c r="HH2" t="e">
        <f>AND('Prezračevanje '!B37,"AAAAAH7/X9c=")</f>
        <v>#VALUE!</v>
      </c>
      <c r="HI2" t="e">
        <f>AND('Prezračevanje '!C37,"AAAAAH7/X9g=")</f>
        <v>#VALUE!</v>
      </c>
      <c r="HJ2" t="e">
        <f>AND('Prezračevanje '!D37,"AAAAAH7/X9k=")</f>
        <v>#VALUE!</v>
      </c>
      <c r="HK2" t="e">
        <f>AND('Prezračevanje '!E37,"AAAAAH7/X9o=")</f>
        <v>#VALUE!</v>
      </c>
      <c r="HL2" t="e">
        <f>AND('Prezračevanje '!F37,"AAAAAH7/X9s=")</f>
        <v>#VALUE!</v>
      </c>
      <c r="HM2" t="e">
        <f>AND('Prezračevanje '!G37,"AAAAAH7/X9w=")</f>
        <v>#VALUE!</v>
      </c>
      <c r="HN2" t="e">
        <f>AND('Prezračevanje '!H37,"AAAAAH7/X90=")</f>
        <v>#VALUE!</v>
      </c>
      <c r="HO2" t="e">
        <f>AND('Prezračevanje '!I37,"AAAAAH7/X94=")</f>
        <v>#VALUE!</v>
      </c>
      <c r="HP2" t="e">
        <f>AND('Prezračevanje '!J37,"AAAAAH7/X98=")</f>
        <v>#VALUE!</v>
      </c>
      <c r="HQ2">
        <f>IF('Prezračevanje '!38:38,"AAAAAH7/X+A=",0)</f>
        <v>0</v>
      </c>
      <c r="HR2" t="e">
        <f>AND('Prezračevanje '!A38,"AAAAAH7/X+E=")</f>
        <v>#VALUE!</v>
      </c>
      <c r="HS2" t="e">
        <f>AND('Prezračevanje '!B38,"AAAAAH7/X+I=")</f>
        <v>#VALUE!</v>
      </c>
      <c r="HT2" t="e">
        <f>AND('Prezračevanje '!C38,"AAAAAH7/X+M=")</f>
        <v>#VALUE!</v>
      </c>
      <c r="HU2" t="e">
        <f>AND('Prezračevanje '!D38,"AAAAAH7/X+Q=")</f>
        <v>#VALUE!</v>
      </c>
      <c r="HV2" t="e">
        <f>AND('Prezračevanje '!E38,"AAAAAH7/X+U=")</f>
        <v>#VALUE!</v>
      </c>
      <c r="HW2" t="e">
        <f>AND('Prezračevanje '!F38,"AAAAAH7/X+Y=")</f>
        <v>#VALUE!</v>
      </c>
      <c r="HX2" t="e">
        <f>AND('Prezračevanje '!G38,"AAAAAH7/X+c=")</f>
        <v>#VALUE!</v>
      </c>
      <c r="HY2" t="e">
        <f>AND('Prezračevanje '!H38,"AAAAAH7/X+g=")</f>
        <v>#VALUE!</v>
      </c>
      <c r="HZ2" t="e">
        <f>AND('Prezračevanje '!I38,"AAAAAH7/X+k=")</f>
        <v>#VALUE!</v>
      </c>
      <c r="IA2" t="e">
        <f>AND('Prezračevanje '!J38,"AAAAAH7/X+o=")</f>
        <v>#VALUE!</v>
      </c>
      <c r="IB2">
        <f>IF('Prezračevanje '!39:39,"AAAAAH7/X+s=",0)</f>
        <v>0</v>
      </c>
      <c r="IC2" t="e">
        <f>AND('Prezračevanje '!A39,"AAAAAH7/X+w=")</f>
        <v>#VALUE!</v>
      </c>
      <c r="ID2" t="e">
        <f>AND('Prezračevanje '!B39,"AAAAAH7/X+0=")</f>
        <v>#VALUE!</v>
      </c>
      <c r="IE2" t="e">
        <f>AND('Prezračevanje '!C39,"AAAAAH7/X+4=")</f>
        <v>#VALUE!</v>
      </c>
      <c r="IF2" t="e">
        <f>AND('Prezračevanje '!D39,"AAAAAH7/X+8=")</f>
        <v>#VALUE!</v>
      </c>
      <c r="IG2" t="e">
        <f>AND('Prezračevanje '!E39,"AAAAAH7/X/A=")</f>
        <v>#VALUE!</v>
      </c>
      <c r="IH2" t="e">
        <f>AND('Prezračevanje '!F39,"AAAAAH7/X/E=")</f>
        <v>#VALUE!</v>
      </c>
      <c r="II2" t="e">
        <f>AND('Prezračevanje '!G39,"AAAAAH7/X/I=")</f>
        <v>#VALUE!</v>
      </c>
      <c r="IJ2" t="e">
        <f>AND('Prezračevanje '!H39,"AAAAAH7/X/M=")</f>
        <v>#VALUE!</v>
      </c>
      <c r="IK2" t="e">
        <f>AND('Prezračevanje '!I39,"AAAAAH7/X/Q=")</f>
        <v>#VALUE!</v>
      </c>
      <c r="IL2" t="e">
        <f>AND('Prezračevanje '!J39,"AAAAAH7/X/U=")</f>
        <v>#VALUE!</v>
      </c>
      <c r="IM2">
        <f>IF('Prezračevanje '!40:40,"AAAAAH7/X/Y=",0)</f>
        <v>0</v>
      </c>
      <c r="IN2" t="e">
        <f>AND('Prezračevanje '!A40,"AAAAAH7/X/c=")</f>
        <v>#VALUE!</v>
      </c>
      <c r="IO2" t="e">
        <f>AND('Prezračevanje '!B40,"AAAAAH7/X/g=")</f>
        <v>#VALUE!</v>
      </c>
      <c r="IP2" t="e">
        <f>AND('Prezračevanje '!C40,"AAAAAH7/X/k=")</f>
        <v>#VALUE!</v>
      </c>
      <c r="IQ2" t="e">
        <f>AND('Prezračevanje '!D40,"AAAAAH7/X/o=")</f>
        <v>#VALUE!</v>
      </c>
      <c r="IR2" t="e">
        <f>AND('Prezračevanje '!E40,"AAAAAH7/X/s=")</f>
        <v>#VALUE!</v>
      </c>
      <c r="IS2" t="e">
        <f>AND('Prezračevanje '!F40,"AAAAAH7/X/w=")</f>
        <v>#VALUE!</v>
      </c>
      <c r="IT2" t="e">
        <f>AND('Prezračevanje '!G40,"AAAAAH7/X/0=")</f>
        <v>#VALUE!</v>
      </c>
      <c r="IU2" t="e">
        <f>AND('Prezračevanje '!H40,"AAAAAH7/X/4=")</f>
        <v>#VALUE!</v>
      </c>
      <c r="IV2" t="e">
        <f>AND('Prezračevanje '!I40,"AAAAAH7/X/8=")</f>
        <v>#VALUE!</v>
      </c>
    </row>
    <row r="3" spans="1:256" ht="12.75">
      <c r="A3" t="e">
        <f>AND('Prezračevanje '!J40,"AAAAAH76+wA=")</f>
        <v>#VALUE!</v>
      </c>
      <c r="B3">
        <f>IF('Prezračevanje '!41:41,"AAAAAH76+wE=",0)</f>
        <v>0</v>
      </c>
      <c r="C3" t="e">
        <f>AND('Prezračevanje '!A41,"AAAAAH76+wI=")</f>
        <v>#VALUE!</v>
      </c>
      <c r="D3" t="e">
        <f>AND('Prezračevanje '!B41,"AAAAAH76+wM=")</f>
        <v>#VALUE!</v>
      </c>
      <c r="E3" t="e">
        <f>AND('Prezračevanje '!C41,"AAAAAH76+wQ=")</f>
        <v>#VALUE!</v>
      </c>
      <c r="F3" t="e">
        <f>AND('Prezračevanje '!D41,"AAAAAH76+wU=")</f>
        <v>#VALUE!</v>
      </c>
      <c r="G3" t="e">
        <f>AND('Prezračevanje '!E41,"AAAAAH76+wY=")</f>
        <v>#VALUE!</v>
      </c>
      <c r="H3" t="e">
        <f>AND('Prezračevanje '!F41,"AAAAAH76+wc=")</f>
        <v>#VALUE!</v>
      </c>
      <c r="I3" t="e">
        <f>AND('Prezračevanje '!G41,"AAAAAH76+wg=")</f>
        <v>#VALUE!</v>
      </c>
      <c r="J3" t="e">
        <f>AND('Prezračevanje '!H41,"AAAAAH76+wk=")</f>
        <v>#VALUE!</v>
      </c>
      <c r="K3" t="e">
        <f>AND('Prezračevanje '!I41,"AAAAAH76+wo=")</f>
        <v>#VALUE!</v>
      </c>
      <c r="L3" t="e">
        <f>AND('Prezračevanje '!J41,"AAAAAH76+ws=")</f>
        <v>#VALUE!</v>
      </c>
      <c r="M3">
        <f>IF('Prezračevanje '!42:42,"AAAAAH76+ww=",0)</f>
        <v>0</v>
      </c>
      <c r="N3" t="e">
        <f>AND('Prezračevanje '!A42,"AAAAAH76+w0=")</f>
        <v>#VALUE!</v>
      </c>
      <c r="O3" t="e">
        <f>AND('Prezračevanje '!B42,"AAAAAH76+w4=")</f>
        <v>#VALUE!</v>
      </c>
      <c r="P3" t="e">
        <f>AND('Prezračevanje '!C42,"AAAAAH76+w8=")</f>
        <v>#VALUE!</v>
      </c>
      <c r="Q3" t="e">
        <f>AND('Prezračevanje '!D42,"AAAAAH76+xA=")</f>
        <v>#VALUE!</v>
      </c>
      <c r="R3" t="e">
        <f>AND('Prezračevanje '!E42,"AAAAAH76+xE=")</f>
        <v>#VALUE!</v>
      </c>
      <c r="S3" t="e">
        <f>AND('Prezračevanje '!F42,"AAAAAH76+xI=")</f>
        <v>#VALUE!</v>
      </c>
      <c r="T3" t="e">
        <f>AND('Prezračevanje '!G42,"AAAAAH76+xM=")</f>
        <v>#VALUE!</v>
      </c>
      <c r="U3" t="e">
        <f>AND('Prezračevanje '!H42,"AAAAAH76+xQ=")</f>
        <v>#VALUE!</v>
      </c>
      <c r="V3" t="e">
        <f>AND('Prezračevanje '!I42,"AAAAAH76+xU=")</f>
        <v>#VALUE!</v>
      </c>
      <c r="W3" t="e">
        <f>AND('Prezračevanje '!J42,"AAAAAH76+xY=")</f>
        <v>#VALUE!</v>
      </c>
      <c r="X3">
        <f>IF('Prezračevanje '!43:43,"AAAAAH76+xc=",0)</f>
        <v>0</v>
      </c>
      <c r="Y3" t="e">
        <f>AND('Prezračevanje '!A43,"AAAAAH76+xg=")</f>
        <v>#VALUE!</v>
      </c>
      <c r="Z3" t="e">
        <f>AND('Prezračevanje '!B43,"AAAAAH76+xk=")</f>
        <v>#VALUE!</v>
      </c>
      <c r="AA3" t="e">
        <f>AND('Prezračevanje '!C43,"AAAAAH76+xo=")</f>
        <v>#VALUE!</v>
      </c>
      <c r="AB3" t="e">
        <f>AND('Prezračevanje '!D43,"AAAAAH76+xs=")</f>
        <v>#VALUE!</v>
      </c>
      <c r="AC3" t="e">
        <f>AND('Prezračevanje '!E43,"AAAAAH76+xw=")</f>
        <v>#VALUE!</v>
      </c>
      <c r="AD3" t="e">
        <f>AND('Prezračevanje '!F43,"AAAAAH76+x0=")</f>
        <v>#VALUE!</v>
      </c>
      <c r="AE3" t="e">
        <f>AND('Prezračevanje '!G43,"AAAAAH76+x4=")</f>
        <v>#VALUE!</v>
      </c>
      <c r="AF3" t="e">
        <f>AND('Prezračevanje '!H43,"AAAAAH76+x8=")</f>
        <v>#VALUE!</v>
      </c>
      <c r="AG3" t="e">
        <f>AND('Prezračevanje '!I43,"AAAAAH76+yA=")</f>
        <v>#VALUE!</v>
      </c>
      <c r="AH3" t="e">
        <f>AND('Prezračevanje '!J43,"AAAAAH76+yE=")</f>
        <v>#VALUE!</v>
      </c>
      <c r="AI3">
        <f>IF('Prezračevanje '!44:44,"AAAAAH76+yI=",0)</f>
        <v>0</v>
      </c>
      <c r="AJ3" t="e">
        <f>AND('Prezračevanje '!A44,"AAAAAH76+yM=")</f>
        <v>#VALUE!</v>
      </c>
      <c r="AK3" t="e">
        <f>AND('Prezračevanje '!B44,"AAAAAH76+yQ=")</f>
        <v>#VALUE!</v>
      </c>
      <c r="AL3" t="e">
        <f>AND('Prezračevanje '!C44,"AAAAAH76+yU=")</f>
        <v>#VALUE!</v>
      </c>
      <c r="AM3" t="e">
        <f>AND('Prezračevanje '!D44,"AAAAAH76+yY=")</f>
        <v>#VALUE!</v>
      </c>
      <c r="AN3" t="e">
        <f>AND('Prezračevanje '!E44,"AAAAAH76+yc=")</f>
        <v>#VALUE!</v>
      </c>
      <c r="AO3" t="e">
        <f>AND('Prezračevanje '!F44,"AAAAAH76+yg=")</f>
        <v>#VALUE!</v>
      </c>
      <c r="AP3" t="e">
        <f>AND('Prezračevanje '!G44,"AAAAAH76+yk=")</f>
        <v>#VALUE!</v>
      </c>
      <c r="AQ3" t="e">
        <f>AND('Prezračevanje '!H44,"AAAAAH76+yo=")</f>
        <v>#VALUE!</v>
      </c>
      <c r="AR3" t="e">
        <f>AND('Prezračevanje '!I44,"AAAAAH76+ys=")</f>
        <v>#VALUE!</v>
      </c>
      <c r="AS3" t="e">
        <f>AND('Prezračevanje '!J44,"AAAAAH76+yw=")</f>
        <v>#VALUE!</v>
      </c>
      <c r="AT3">
        <f>IF('Prezračevanje '!45:45,"AAAAAH76+y0=",0)</f>
        <v>0</v>
      </c>
      <c r="AU3" t="e">
        <f>AND('Prezračevanje '!A45,"AAAAAH76+y4=")</f>
        <v>#VALUE!</v>
      </c>
      <c r="AV3" t="e">
        <f>AND('Prezračevanje '!B45,"AAAAAH76+y8=")</f>
        <v>#VALUE!</v>
      </c>
      <c r="AW3" t="e">
        <f>AND('Prezračevanje '!C45,"AAAAAH76+zA=")</f>
        <v>#VALUE!</v>
      </c>
      <c r="AX3" t="e">
        <f>AND('Prezračevanje '!D45,"AAAAAH76+zE=")</f>
        <v>#VALUE!</v>
      </c>
      <c r="AY3" t="e">
        <f>AND('Prezračevanje '!E45,"AAAAAH76+zI=")</f>
        <v>#VALUE!</v>
      </c>
      <c r="AZ3" t="e">
        <f>AND('Prezračevanje '!F45,"AAAAAH76+zM=")</f>
        <v>#VALUE!</v>
      </c>
      <c r="BA3" t="e">
        <f>AND('Prezračevanje '!G45,"AAAAAH76+zQ=")</f>
        <v>#VALUE!</v>
      </c>
      <c r="BB3" t="e">
        <f>AND('Prezračevanje '!H45,"AAAAAH76+zU=")</f>
        <v>#VALUE!</v>
      </c>
      <c r="BC3" t="e">
        <f>AND('Prezračevanje '!I45,"AAAAAH76+zY=")</f>
        <v>#VALUE!</v>
      </c>
      <c r="BD3" t="e">
        <f>AND('Prezračevanje '!J45,"AAAAAH76+zc=")</f>
        <v>#VALUE!</v>
      </c>
      <c r="BE3">
        <f>IF('Prezračevanje '!46:46,"AAAAAH76+zg=",0)</f>
        <v>0</v>
      </c>
      <c r="BF3" t="e">
        <f>AND('Prezračevanje '!A46,"AAAAAH76+zk=")</f>
        <v>#VALUE!</v>
      </c>
      <c r="BG3" t="e">
        <f>AND('Prezračevanje '!B46,"AAAAAH76+zo=")</f>
        <v>#VALUE!</v>
      </c>
      <c r="BH3" t="e">
        <f>AND('Prezračevanje '!C46,"AAAAAH76+zs=")</f>
        <v>#VALUE!</v>
      </c>
      <c r="BI3" t="e">
        <f>AND('Prezračevanje '!D46,"AAAAAH76+zw=")</f>
        <v>#VALUE!</v>
      </c>
      <c r="BJ3" t="e">
        <f>AND('Prezračevanje '!E46,"AAAAAH76+z0=")</f>
        <v>#VALUE!</v>
      </c>
      <c r="BK3" t="e">
        <f>AND('Prezračevanje '!F46,"AAAAAH76+z4=")</f>
        <v>#VALUE!</v>
      </c>
      <c r="BL3" t="e">
        <f>AND('Prezračevanje '!G46,"AAAAAH76+z8=")</f>
        <v>#VALUE!</v>
      </c>
      <c r="BM3" t="e">
        <f>AND('Prezračevanje '!H46,"AAAAAH76+0A=")</f>
        <v>#VALUE!</v>
      </c>
      <c r="BN3" t="e">
        <f>AND('Prezračevanje '!I46,"AAAAAH76+0E=")</f>
        <v>#VALUE!</v>
      </c>
      <c r="BO3" t="e">
        <f>AND('Prezračevanje '!J46,"AAAAAH76+0I=")</f>
        <v>#VALUE!</v>
      </c>
      <c r="BP3">
        <f>IF('Prezračevanje '!47:47,"AAAAAH76+0M=",0)</f>
        <v>0</v>
      </c>
      <c r="BQ3" t="e">
        <f>AND('Prezračevanje '!A47,"AAAAAH76+0Q=")</f>
        <v>#VALUE!</v>
      </c>
      <c r="BR3" t="e">
        <f>AND('Prezračevanje '!B47,"AAAAAH76+0U=")</f>
        <v>#VALUE!</v>
      </c>
      <c r="BS3" t="e">
        <f>AND('Prezračevanje '!C47,"AAAAAH76+0Y=")</f>
        <v>#VALUE!</v>
      </c>
      <c r="BT3" t="e">
        <f>AND('Prezračevanje '!D47,"AAAAAH76+0c=")</f>
        <v>#VALUE!</v>
      </c>
      <c r="BU3" t="e">
        <f>AND('Prezračevanje '!E47,"AAAAAH76+0g=")</f>
        <v>#VALUE!</v>
      </c>
      <c r="BV3" t="e">
        <f>AND('Prezračevanje '!F47,"AAAAAH76+0k=")</f>
        <v>#VALUE!</v>
      </c>
      <c r="BW3" t="e">
        <f>AND('Prezračevanje '!G47,"AAAAAH76+0o=")</f>
        <v>#VALUE!</v>
      </c>
      <c r="BX3" t="e">
        <f>AND('Prezračevanje '!H47,"AAAAAH76+0s=")</f>
        <v>#VALUE!</v>
      </c>
      <c r="BY3" t="e">
        <f>AND('Prezračevanje '!I47,"AAAAAH76+0w=")</f>
        <v>#VALUE!</v>
      </c>
      <c r="BZ3" t="e">
        <f>AND('Prezračevanje '!J47,"AAAAAH76+00=")</f>
        <v>#VALUE!</v>
      </c>
      <c r="CA3">
        <f>IF('Prezračevanje '!48:48,"AAAAAH76+04=",0)</f>
        <v>0</v>
      </c>
      <c r="CB3" t="e">
        <f>AND('Prezračevanje '!A48,"AAAAAH76+08=")</f>
        <v>#VALUE!</v>
      </c>
      <c r="CC3" t="e">
        <f>AND('Prezračevanje '!B48,"AAAAAH76+1A=")</f>
        <v>#VALUE!</v>
      </c>
      <c r="CD3" t="e">
        <f>AND('Prezračevanje '!C48,"AAAAAH76+1E=")</f>
        <v>#VALUE!</v>
      </c>
      <c r="CE3" t="e">
        <f>AND('Prezračevanje '!D48,"AAAAAH76+1I=")</f>
        <v>#VALUE!</v>
      </c>
      <c r="CF3" t="e">
        <f>AND('Prezračevanje '!E48,"AAAAAH76+1M=")</f>
        <v>#VALUE!</v>
      </c>
      <c r="CG3" t="e">
        <f>AND('Prezračevanje '!F48,"AAAAAH76+1Q=")</f>
        <v>#VALUE!</v>
      </c>
      <c r="CH3" t="e">
        <f>AND('Prezračevanje '!G48,"AAAAAH76+1U=")</f>
        <v>#VALUE!</v>
      </c>
      <c r="CI3" t="e">
        <f>AND('Prezračevanje '!H48,"AAAAAH76+1Y=")</f>
        <v>#VALUE!</v>
      </c>
      <c r="CJ3" t="e">
        <f>AND('Prezračevanje '!I48,"AAAAAH76+1c=")</f>
        <v>#VALUE!</v>
      </c>
      <c r="CK3" t="e">
        <f>AND('Prezračevanje '!J48,"AAAAAH76+1g=")</f>
        <v>#VALUE!</v>
      </c>
      <c r="CL3">
        <f>IF('Prezračevanje '!49:49,"AAAAAH76+1k=",0)</f>
        <v>0</v>
      </c>
      <c r="CM3" t="e">
        <f>AND('Prezračevanje '!A49,"AAAAAH76+1o=")</f>
        <v>#VALUE!</v>
      </c>
      <c r="CN3" t="e">
        <f>AND('Prezračevanje '!B49,"AAAAAH76+1s=")</f>
        <v>#VALUE!</v>
      </c>
      <c r="CO3" t="e">
        <f>AND('Prezračevanje '!C49,"AAAAAH76+1w=")</f>
        <v>#VALUE!</v>
      </c>
      <c r="CP3" t="e">
        <f>AND('Prezračevanje '!D49,"AAAAAH76+10=")</f>
        <v>#VALUE!</v>
      </c>
      <c r="CQ3" t="e">
        <f>AND('Prezračevanje '!E49,"AAAAAH76+14=")</f>
        <v>#VALUE!</v>
      </c>
      <c r="CR3" t="e">
        <f>AND('Prezračevanje '!F49,"AAAAAH76+18=")</f>
        <v>#VALUE!</v>
      </c>
      <c r="CS3" t="e">
        <f>AND('Prezračevanje '!G49,"AAAAAH76+2A=")</f>
        <v>#VALUE!</v>
      </c>
      <c r="CT3" t="e">
        <f>AND('Prezračevanje '!H49,"AAAAAH76+2E=")</f>
        <v>#VALUE!</v>
      </c>
      <c r="CU3" t="e">
        <f>AND('Prezračevanje '!I49,"AAAAAH76+2I=")</f>
        <v>#VALUE!</v>
      </c>
      <c r="CV3" t="e">
        <f>AND('Prezračevanje '!J49,"AAAAAH76+2M=")</f>
        <v>#VALUE!</v>
      </c>
      <c r="CW3">
        <f>IF('Prezračevanje '!50:50,"AAAAAH76+2Q=",0)</f>
        <v>0</v>
      </c>
      <c r="CX3" t="e">
        <f>AND('Prezračevanje '!A50,"AAAAAH76+2U=")</f>
        <v>#VALUE!</v>
      </c>
      <c r="CY3" t="e">
        <f>AND('Prezračevanje '!B50,"AAAAAH76+2Y=")</f>
        <v>#VALUE!</v>
      </c>
      <c r="CZ3" t="e">
        <f>AND('Prezračevanje '!C50,"AAAAAH76+2c=")</f>
        <v>#VALUE!</v>
      </c>
      <c r="DA3" t="e">
        <f>AND('Prezračevanje '!D50,"AAAAAH76+2g=")</f>
        <v>#VALUE!</v>
      </c>
      <c r="DB3" t="e">
        <f>AND('Prezračevanje '!E50,"AAAAAH76+2k=")</f>
        <v>#VALUE!</v>
      </c>
      <c r="DC3" t="e">
        <f>AND('Prezračevanje '!F50,"AAAAAH76+2o=")</f>
        <v>#VALUE!</v>
      </c>
      <c r="DD3" t="e">
        <f>AND('Prezračevanje '!G50,"AAAAAH76+2s=")</f>
        <v>#VALUE!</v>
      </c>
      <c r="DE3" t="e">
        <f>AND('Prezračevanje '!H50,"AAAAAH76+2w=")</f>
        <v>#VALUE!</v>
      </c>
      <c r="DF3" t="e">
        <f>AND('Prezračevanje '!I50,"AAAAAH76+20=")</f>
        <v>#VALUE!</v>
      </c>
      <c r="DG3" t="e">
        <f>AND('Prezračevanje '!J50,"AAAAAH76+24=")</f>
        <v>#VALUE!</v>
      </c>
      <c r="DH3">
        <f>IF('Prezračevanje '!51:51,"AAAAAH76+28=",0)</f>
        <v>0</v>
      </c>
      <c r="DI3" t="e">
        <f>AND('Prezračevanje '!A51,"AAAAAH76+3A=")</f>
        <v>#VALUE!</v>
      </c>
      <c r="DJ3" t="e">
        <f>AND('Prezračevanje '!B51,"AAAAAH76+3E=")</f>
        <v>#VALUE!</v>
      </c>
      <c r="DK3" t="e">
        <f>AND('Prezračevanje '!C51,"AAAAAH76+3I=")</f>
        <v>#VALUE!</v>
      </c>
      <c r="DL3" t="e">
        <f>AND('Prezračevanje '!D51,"AAAAAH76+3M=")</f>
        <v>#VALUE!</v>
      </c>
      <c r="DM3" t="e">
        <f>AND('Prezračevanje '!E51,"AAAAAH76+3Q=")</f>
        <v>#VALUE!</v>
      </c>
      <c r="DN3" t="e">
        <f>AND('Prezračevanje '!F51,"AAAAAH76+3U=")</f>
        <v>#VALUE!</v>
      </c>
      <c r="DO3" t="e">
        <f>AND('Prezračevanje '!G51,"AAAAAH76+3Y=")</f>
        <v>#VALUE!</v>
      </c>
      <c r="DP3" t="e">
        <f>AND('Prezračevanje '!H51,"AAAAAH76+3c=")</f>
        <v>#VALUE!</v>
      </c>
      <c r="DQ3" t="e">
        <f>AND('Prezračevanje '!I51,"AAAAAH76+3g=")</f>
        <v>#VALUE!</v>
      </c>
      <c r="DR3" t="e">
        <f>AND('Prezračevanje '!J51,"AAAAAH76+3k=")</f>
        <v>#VALUE!</v>
      </c>
      <c r="DS3">
        <f>IF('Prezračevanje '!52:52,"AAAAAH76+3o=",0)</f>
        <v>0</v>
      </c>
      <c r="DT3" t="e">
        <f>AND('Prezračevanje '!A52,"AAAAAH76+3s=")</f>
        <v>#VALUE!</v>
      </c>
      <c r="DU3" t="e">
        <f>AND('Prezračevanje '!B52,"AAAAAH76+3w=")</f>
        <v>#VALUE!</v>
      </c>
      <c r="DV3" t="e">
        <f>AND('Prezračevanje '!C52,"AAAAAH76+30=")</f>
        <v>#VALUE!</v>
      </c>
      <c r="DW3" t="e">
        <f>AND('Prezračevanje '!D52,"AAAAAH76+34=")</f>
        <v>#VALUE!</v>
      </c>
      <c r="DX3" t="e">
        <f>AND('Prezračevanje '!E52,"AAAAAH76+38=")</f>
        <v>#VALUE!</v>
      </c>
      <c r="DY3" t="e">
        <f>AND('Prezračevanje '!F52,"AAAAAH76+4A=")</f>
        <v>#VALUE!</v>
      </c>
      <c r="DZ3" t="e">
        <f>AND('Prezračevanje '!G52,"AAAAAH76+4E=")</f>
        <v>#VALUE!</v>
      </c>
      <c r="EA3" t="e">
        <f>AND('Prezračevanje '!H52,"AAAAAH76+4I=")</f>
        <v>#VALUE!</v>
      </c>
      <c r="EB3" t="e">
        <f>AND('Prezračevanje '!I52,"AAAAAH76+4M=")</f>
        <v>#VALUE!</v>
      </c>
      <c r="EC3" t="e">
        <f>AND('Prezračevanje '!J52,"AAAAAH76+4Q=")</f>
        <v>#VALUE!</v>
      </c>
      <c r="ED3">
        <f>IF('Prezračevanje '!53:53,"AAAAAH76+4U=",0)</f>
        <v>0</v>
      </c>
      <c r="EE3" t="e">
        <f>AND('Prezračevanje '!A53,"AAAAAH76+4Y=")</f>
        <v>#VALUE!</v>
      </c>
      <c r="EF3" t="e">
        <f>AND('Prezračevanje '!B53,"AAAAAH76+4c=")</f>
        <v>#VALUE!</v>
      </c>
      <c r="EG3" t="e">
        <f>AND('Prezračevanje '!C53,"AAAAAH76+4g=")</f>
        <v>#VALUE!</v>
      </c>
      <c r="EH3" t="e">
        <f>AND('Prezračevanje '!D53,"AAAAAH76+4k=")</f>
        <v>#VALUE!</v>
      </c>
      <c r="EI3" t="e">
        <f>AND('Prezračevanje '!E53,"AAAAAH76+4o=")</f>
        <v>#VALUE!</v>
      </c>
      <c r="EJ3" t="e">
        <f>AND('Prezračevanje '!F53,"AAAAAH76+4s=")</f>
        <v>#VALUE!</v>
      </c>
      <c r="EK3" t="e">
        <f>AND('Prezračevanje '!G53,"AAAAAH76+4w=")</f>
        <v>#VALUE!</v>
      </c>
      <c r="EL3" t="e">
        <f>AND('Prezračevanje '!H53,"AAAAAH76+40=")</f>
        <v>#VALUE!</v>
      </c>
      <c r="EM3" t="e">
        <f>AND('Prezračevanje '!I53,"AAAAAH76+44=")</f>
        <v>#VALUE!</v>
      </c>
      <c r="EN3" t="e">
        <f>AND('Prezračevanje '!J53,"AAAAAH76+48=")</f>
        <v>#VALUE!</v>
      </c>
      <c r="EO3">
        <f>IF('Prezračevanje '!54:54,"AAAAAH76+5A=",0)</f>
        <v>0</v>
      </c>
      <c r="EP3" t="e">
        <f>AND('Prezračevanje '!A54,"AAAAAH76+5E=")</f>
        <v>#VALUE!</v>
      </c>
      <c r="EQ3" t="e">
        <f>AND('Prezračevanje '!B54,"AAAAAH76+5I=")</f>
        <v>#VALUE!</v>
      </c>
      <c r="ER3" t="e">
        <f>AND('Prezračevanje '!C54,"AAAAAH76+5M=")</f>
        <v>#VALUE!</v>
      </c>
      <c r="ES3" t="e">
        <f>AND('Prezračevanje '!D54,"AAAAAH76+5Q=")</f>
        <v>#VALUE!</v>
      </c>
      <c r="ET3" t="e">
        <f>AND('Prezračevanje '!E54,"AAAAAH76+5U=")</f>
        <v>#VALUE!</v>
      </c>
      <c r="EU3" t="e">
        <f>AND('Prezračevanje '!F54,"AAAAAH76+5Y=")</f>
        <v>#VALUE!</v>
      </c>
      <c r="EV3" t="e">
        <f>AND('Prezračevanje '!G54,"AAAAAH76+5c=")</f>
        <v>#VALUE!</v>
      </c>
      <c r="EW3" t="e">
        <f>AND('Prezračevanje '!H54,"AAAAAH76+5g=")</f>
        <v>#VALUE!</v>
      </c>
      <c r="EX3" t="e">
        <f>AND('Prezračevanje '!I54,"AAAAAH76+5k=")</f>
        <v>#VALUE!</v>
      </c>
      <c r="EY3" t="e">
        <f>AND('Prezračevanje '!J54,"AAAAAH76+5o=")</f>
        <v>#VALUE!</v>
      </c>
      <c r="EZ3">
        <f>IF('Prezračevanje '!55:55,"AAAAAH76+5s=",0)</f>
        <v>0</v>
      </c>
      <c r="FA3" t="e">
        <f>AND('Prezračevanje '!A55,"AAAAAH76+5w=")</f>
        <v>#VALUE!</v>
      </c>
      <c r="FB3" t="e">
        <f>AND('Prezračevanje '!B55,"AAAAAH76+50=")</f>
        <v>#VALUE!</v>
      </c>
      <c r="FC3" t="e">
        <f>AND('Prezračevanje '!C55,"AAAAAH76+54=")</f>
        <v>#VALUE!</v>
      </c>
      <c r="FD3" t="e">
        <f>AND('Prezračevanje '!D55,"AAAAAH76+58=")</f>
        <v>#VALUE!</v>
      </c>
      <c r="FE3" t="e">
        <f>AND('Prezračevanje '!E55,"AAAAAH76+6A=")</f>
        <v>#VALUE!</v>
      </c>
      <c r="FF3" t="e">
        <f>AND('Prezračevanje '!F55,"AAAAAH76+6E=")</f>
        <v>#VALUE!</v>
      </c>
      <c r="FG3" t="e">
        <f>AND('Prezračevanje '!G55,"AAAAAH76+6I=")</f>
        <v>#VALUE!</v>
      </c>
      <c r="FH3" t="e">
        <f>AND('Prezračevanje '!H55,"AAAAAH76+6M=")</f>
        <v>#VALUE!</v>
      </c>
      <c r="FI3" t="e">
        <f>AND('Prezračevanje '!I55,"AAAAAH76+6Q=")</f>
        <v>#VALUE!</v>
      </c>
      <c r="FJ3" t="e">
        <f>AND('Prezračevanje '!J55,"AAAAAH76+6U=")</f>
        <v>#VALUE!</v>
      </c>
      <c r="FK3">
        <f>IF('Prezračevanje '!56:56,"AAAAAH76+6Y=",0)</f>
        <v>0</v>
      </c>
      <c r="FL3" t="e">
        <f>AND('Prezračevanje '!A56,"AAAAAH76+6c=")</f>
        <v>#VALUE!</v>
      </c>
      <c r="FM3" t="e">
        <f>AND('Prezračevanje '!B56,"AAAAAH76+6g=")</f>
        <v>#VALUE!</v>
      </c>
      <c r="FN3" t="e">
        <f>AND('Prezračevanje '!C56,"AAAAAH76+6k=")</f>
        <v>#VALUE!</v>
      </c>
      <c r="FO3" t="e">
        <f>AND('Prezračevanje '!D56,"AAAAAH76+6o=")</f>
        <v>#VALUE!</v>
      </c>
      <c r="FP3" t="e">
        <f>AND('Prezračevanje '!E56,"AAAAAH76+6s=")</f>
        <v>#VALUE!</v>
      </c>
      <c r="FQ3" t="e">
        <f>AND('Prezračevanje '!F56,"AAAAAH76+6w=")</f>
        <v>#VALUE!</v>
      </c>
      <c r="FR3" t="e">
        <f>AND('Prezračevanje '!G56,"AAAAAH76+60=")</f>
        <v>#VALUE!</v>
      </c>
      <c r="FS3" t="e">
        <f>AND('Prezračevanje '!H56,"AAAAAH76+64=")</f>
        <v>#VALUE!</v>
      </c>
      <c r="FT3" t="e">
        <f>AND('Prezračevanje '!I56,"AAAAAH76+68=")</f>
        <v>#VALUE!</v>
      </c>
      <c r="FU3" t="e">
        <f>AND('Prezračevanje '!J56,"AAAAAH76+7A=")</f>
        <v>#VALUE!</v>
      </c>
      <c r="FV3">
        <f>IF('Prezračevanje '!57:57,"AAAAAH76+7E=",0)</f>
        <v>0</v>
      </c>
      <c r="FW3" t="e">
        <f>AND('Prezračevanje '!A57,"AAAAAH76+7I=")</f>
        <v>#VALUE!</v>
      </c>
      <c r="FX3" t="e">
        <f>AND('Prezračevanje '!B57,"AAAAAH76+7M=")</f>
        <v>#VALUE!</v>
      </c>
      <c r="FY3" t="e">
        <f>AND('Prezračevanje '!C57,"AAAAAH76+7Q=")</f>
        <v>#VALUE!</v>
      </c>
      <c r="FZ3" t="e">
        <f>AND('Prezračevanje '!D57,"AAAAAH76+7U=")</f>
        <v>#VALUE!</v>
      </c>
      <c r="GA3" t="e">
        <f>AND('Prezračevanje '!E57,"AAAAAH76+7Y=")</f>
        <v>#VALUE!</v>
      </c>
      <c r="GB3" t="e">
        <f>AND('Prezračevanje '!F57,"AAAAAH76+7c=")</f>
        <v>#VALUE!</v>
      </c>
      <c r="GC3" t="e">
        <f>AND('Prezračevanje '!G57,"AAAAAH76+7g=")</f>
        <v>#VALUE!</v>
      </c>
      <c r="GD3" t="e">
        <f>AND('Prezračevanje '!H57,"AAAAAH76+7k=")</f>
        <v>#VALUE!</v>
      </c>
      <c r="GE3" t="e">
        <f>AND('Prezračevanje '!I57,"AAAAAH76+7o=")</f>
        <v>#VALUE!</v>
      </c>
      <c r="GF3" t="e">
        <f>AND('Prezračevanje '!J57,"AAAAAH76+7s=")</f>
        <v>#VALUE!</v>
      </c>
      <c r="GG3">
        <f>IF('Prezračevanje '!58:58,"AAAAAH76+7w=",0)</f>
        <v>0</v>
      </c>
      <c r="GH3" t="e">
        <f>AND('Prezračevanje '!A58,"AAAAAH76+70=")</f>
        <v>#VALUE!</v>
      </c>
      <c r="GI3" t="e">
        <f>AND('Prezračevanje '!B58,"AAAAAH76+74=")</f>
        <v>#VALUE!</v>
      </c>
      <c r="GJ3" t="e">
        <f>AND('Prezračevanje '!C58,"AAAAAH76+78=")</f>
        <v>#VALUE!</v>
      </c>
      <c r="GK3" t="e">
        <f>AND('Prezračevanje '!D58,"AAAAAH76+8A=")</f>
        <v>#VALUE!</v>
      </c>
      <c r="GL3" t="e">
        <f>AND('Prezračevanje '!E58,"AAAAAH76+8E=")</f>
        <v>#VALUE!</v>
      </c>
      <c r="GM3" t="e">
        <f>AND('Prezračevanje '!F58,"AAAAAH76+8I=")</f>
        <v>#VALUE!</v>
      </c>
      <c r="GN3" t="e">
        <f>AND('Prezračevanje '!G58,"AAAAAH76+8M=")</f>
        <v>#VALUE!</v>
      </c>
      <c r="GO3" t="e">
        <f>AND('Prezračevanje '!H58,"AAAAAH76+8Q=")</f>
        <v>#VALUE!</v>
      </c>
      <c r="GP3" t="e">
        <f>AND('Prezračevanje '!I58,"AAAAAH76+8U=")</f>
        <v>#VALUE!</v>
      </c>
      <c r="GQ3" t="e">
        <f>AND('Prezračevanje '!J58,"AAAAAH76+8Y=")</f>
        <v>#VALUE!</v>
      </c>
      <c r="GR3">
        <f>IF('Prezračevanje '!59:59,"AAAAAH76+8c=",0)</f>
        <v>0</v>
      </c>
      <c r="GS3" t="e">
        <f>AND('Prezračevanje '!A59,"AAAAAH76+8g=")</f>
        <v>#VALUE!</v>
      </c>
      <c r="GT3" t="e">
        <f>AND('Prezračevanje '!B59,"AAAAAH76+8k=")</f>
        <v>#VALUE!</v>
      </c>
      <c r="GU3" t="e">
        <f>AND('Prezračevanje '!C59,"AAAAAH76+8o=")</f>
        <v>#VALUE!</v>
      </c>
      <c r="GV3" t="e">
        <f>AND('Prezračevanje '!D59,"AAAAAH76+8s=")</f>
        <v>#VALUE!</v>
      </c>
      <c r="GW3" t="e">
        <f>AND('Prezračevanje '!E59,"AAAAAH76+8w=")</f>
        <v>#VALUE!</v>
      </c>
      <c r="GX3" t="e">
        <f>AND('Prezračevanje '!F59,"AAAAAH76+80=")</f>
        <v>#VALUE!</v>
      </c>
      <c r="GY3" t="e">
        <f>AND('Prezračevanje '!G59,"AAAAAH76+84=")</f>
        <v>#VALUE!</v>
      </c>
      <c r="GZ3" t="e">
        <f>AND('Prezračevanje '!H59,"AAAAAH76+88=")</f>
        <v>#VALUE!</v>
      </c>
      <c r="HA3" t="e">
        <f>AND('Prezračevanje '!I59,"AAAAAH76+9A=")</f>
        <v>#VALUE!</v>
      </c>
      <c r="HB3" t="e">
        <f>AND('Prezračevanje '!J59,"AAAAAH76+9E=")</f>
        <v>#VALUE!</v>
      </c>
      <c r="HC3">
        <f>IF('Prezračevanje '!60:60,"AAAAAH76+9I=",0)</f>
        <v>0</v>
      </c>
      <c r="HD3" t="e">
        <f>AND('Prezračevanje '!A60,"AAAAAH76+9M=")</f>
        <v>#VALUE!</v>
      </c>
      <c r="HE3" t="e">
        <f>AND('Prezračevanje '!B60,"AAAAAH76+9Q=")</f>
        <v>#VALUE!</v>
      </c>
      <c r="HF3" t="e">
        <f>AND('Prezračevanje '!C60,"AAAAAH76+9U=")</f>
        <v>#VALUE!</v>
      </c>
      <c r="HG3" t="e">
        <f>AND('Prezračevanje '!D60,"AAAAAH76+9Y=")</f>
        <v>#VALUE!</v>
      </c>
      <c r="HH3" t="e">
        <f>AND('Prezračevanje '!E60,"AAAAAH76+9c=")</f>
        <v>#VALUE!</v>
      </c>
      <c r="HI3" t="e">
        <f>AND('Prezračevanje '!F60,"AAAAAH76+9g=")</f>
        <v>#VALUE!</v>
      </c>
      <c r="HJ3" t="e">
        <f>AND('Prezračevanje '!G60,"AAAAAH76+9k=")</f>
        <v>#VALUE!</v>
      </c>
      <c r="HK3" t="e">
        <f>AND('Prezračevanje '!H60,"AAAAAH76+9o=")</f>
        <v>#VALUE!</v>
      </c>
      <c r="HL3" t="e">
        <f>AND('Prezračevanje '!I60,"AAAAAH76+9s=")</f>
        <v>#VALUE!</v>
      </c>
      <c r="HM3" t="e">
        <f>AND('Prezračevanje '!J60,"AAAAAH76+9w=")</f>
        <v>#VALUE!</v>
      </c>
      <c r="HN3">
        <f>IF('Prezračevanje '!61:61,"AAAAAH76+90=",0)</f>
        <v>0</v>
      </c>
      <c r="HO3" t="e">
        <f>AND('Prezračevanje '!A61,"AAAAAH76+94=")</f>
        <v>#VALUE!</v>
      </c>
      <c r="HP3" t="e">
        <f>AND('Prezračevanje '!B61,"AAAAAH76+98=")</f>
        <v>#VALUE!</v>
      </c>
      <c r="HQ3" t="e">
        <f>AND('Prezračevanje '!C61,"AAAAAH76++A=")</f>
        <v>#VALUE!</v>
      </c>
      <c r="HR3" t="e">
        <f>AND('Prezračevanje '!D61,"AAAAAH76++E=")</f>
        <v>#VALUE!</v>
      </c>
      <c r="HS3" t="e">
        <f>AND('Prezračevanje '!E61,"AAAAAH76++I=")</f>
        <v>#VALUE!</v>
      </c>
      <c r="HT3" t="e">
        <f>AND('Prezračevanje '!F61,"AAAAAH76++M=")</f>
        <v>#VALUE!</v>
      </c>
      <c r="HU3" t="e">
        <f>AND('Prezračevanje '!G61,"AAAAAH76++Q=")</f>
        <v>#VALUE!</v>
      </c>
      <c r="HV3" t="e">
        <f>AND('Prezračevanje '!H61,"AAAAAH76++U=")</f>
        <v>#VALUE!</v>
      </c>
      <c r="HW3" t="e">
        <f>AND('Prezračevanje '!I61,"AAAAAH76++Y=")</f>
        <v>#VALUE!</v>
      </c>
      <c r="HX3" t="e">
        <f>AND('Prezračevanje '!J61,"AAAAAH76++c=")</f>
        <v>#VALUE!</v>
      </c>
      <c r="HY3">
        <f>IF('Prezračevanje '!62:62,"AAAAAH76++g=",0)</f>
        <v>0</v>
      </c>
      <c r="HZ3" t="e">
        <f>AND('Prezračevanje '!A62,"AAAAAH76++k=")</f>
        <v>#VALUE!</v>
      </c>
      <c r="IA3" t="e">
        <f>AND('Prezračevanje '!B62,"AAAAAH76++o=")</f>
        <v>#VALUE!</v>
      </c>
      <c r="IB3" t="e">
        <f>AND('Prezračevanje '!C62,"AAAAAH76++s=")</f>
        <v>#VALUE!</v>
      </c>
      <c r="IC3" t="e">
        <f>AND('Prezračevanje '!D62,"AAAAAH76++w=")</f>
        <v>#VALUE!</v>
      </c>
      <c r="ID3" t="e">
        <f>AND('Prezračevanje '!E62,"AAAAAH76++0=")</f>
        <v>#VALUE!</v>
      </c>
      <c r="IE3" t="e">
        <f>AND('Prezračevanje '!F62,"AAAAAH76++4=")</f>
        <v>#VALUE!</v>
      </c>
      <c r="IF3" t="e">
        <f>AND('Prezračevanje '!G62,"AAAAAH76++8=")</f>
        <v>#VALUE!</v>
      </c>
      <c r="IG3" t="e">
        <f>AND('Prezračevanje '!H62,"AAAAAH76+/A=")</f>
        <v>#VALUE!</v>
      </c>
      <c r="IH3" t="e">
        <f>AND('Prezračevanje '!I62,"AAAAAH76+/E=")</f>
        <v>#VALUE!</v>
      </c>
      <c r="II3" t="e">
        <f>AND('Prezračevanje '!J62,"AAAAAH76+/I=")</f>
        <v>#VALUE!</v>
      </c>
      <c r="IJ3">
        <f>IF('Prezračevanje '!63:63,"AAAAAH76+/M=",0)</f>
        <v>0</v>
      </c>
      <c r="IK3" t="e">
        <f>AND('Prezračevanje '!A63,"AAAAAH76+/Q=")</f>
        <v>#VALUE!</v>
      </c>
      <c r="IL3" t="e">
        <f>AND('Prezračevanje '!B63,"AAAAAH76+/U=")</f>
        <v>#VALUE!</v>
      </c>
      <c r="IM3" t="e">
        <f>AND('Prezračevanje '!C63,"AAAAAH76+/Y=")</f>
        <v>#VALUE!</v>
      </c>
      <c r="IN3" t="e">
        <f>AND('Prezračevanje '!D63,"AAAAAH76+/c=")</f>
        <v>#VALUE!</v>
      </c>
      <c r="IO3" t="e">
        <f>AND('Prezračevanje '!E63,"AAAAAH76+/g=")</f>
        <v>#VALUE!</v>
      </c>
      <c r="IP3" t="e">
        <f>AND('Prezračevanje '!F63,"AAAAAH76+/k=")</f>
        <v>#VALUE!</v>
      </c>
      <c r="IQ3" t="e">
        <f>AND('Prezračevanje '!G63,"AAAAAH76+/o=")</f>
        <v>#VALUE!</v>
      </c>
      <c r="IR3" t="e">
        <f>AND('Prezračevanje '!H63,"AAAAAH76+/s=")</f>
        <v>#VALUE!</v>
      </c>
      <c r="IS3" t="e">
        <f>AND('Prezračevanje '!I63,"AAAAAH76+/w=")</f>
        <v>#VALUE!</v>
      </c>
      <c r="IT3" t="e">
        <f>AND('Prezračevanje '!J63,"AAAAAH76+/0=")</f>
        <v>#VALUE!</v>
      </c>
      <c r="IU3">
        <f>IF('Prezračevanje '!64:64,"AAAAAH76+/4=",0)</f>
        <v>0</v>
      </c>
      <c r="IV3" t="e">
        <f>AND('Prezračevanje '!A64,"AAAAAH76+/8=")</f>
        <v>#VALUE!</v>
      </c>
    </row>
    <row r="4" spans="1:256" ht="12.75">
      <c r="A4" t="e">
        <f>AND('Prezračevanje '!B64,"AAAAAFB+cwA=")</f>
        <v>#VALUE!</v>
      </c>
      <c r="B4" t="e">
        <f>AND('Prezračevanje '!C64,"AAAAAFB+cwE=")</f>
        <v>#VALUE!</v>
      </c>
      <c r="C4" t="e">
        <f>AND('Prezračevanje '!D64,"AAAAAFB+cwI=")</f>
        <v>#VALUE!</v>
      </c>
      <c r="D4" t="e">
        <f>AND('Prezračevanje '!E64,"AAAAAFB+cwM=")</f>
        <v>#VALUE!</v>
      </c>
      <c r="E4" t="e">
        <f>AND('Prezračevanje '!F64,"AAAAAFB+cwQ=")</f>
        <v>#VALUE!</v>
      </c>
      <c r="F4" t="e">
        <f>AND('Prezračevanje '!G64,"AAAAAFB+cwU=")</f>
        <v>#VALUE!</v>
      </c>
      <c r="G4" t="e">
        <f>AND('Prezračevanje '!H64,"AAAAAFB+cwY=")</f>
        <v>#VALUE!</v>
      </c>
      <c r="H4" t="e">
        <f>AND('Prezračevanje '!I64,"AAAAAFB+cwc=")</f>
        <v>#VALUE!</v>
      </c>
      <c r="I4" t="e">
        <f>AND('Prezračevanje '!J64,"AAAAAFB+cwg=")</f>
        <v>#VALUE!</v>
      </c>
      <c r="J4">
        <f>IF('Prezračevanje '!65:65,"AAAAAFB+cwk=",0)</f>
        <v>0</v>
      </c>
      <c r="K4" t="e">
        <f>AND('Prezračevanje '!A65,"AAAAAFB+cwo=")</f>
        <v>#VALUE!</v>
      </c>
      <c r="L4" t="e">
        <f>AND('Prezračevanje '!B65,"AAAAAFB+cws=")</f>
        <v>#VALUE!</v>
      </c>
      <c r="M4" t="e">
        <f>AND('Prezračevanje '!C65,"AAAAAFB+cww=")</f>
        <v>#VALUE!</v>
      </c>
      <c r="N4" t="e">
        <f>AND('Prezračevanje '!D65,"AAAAAFB+cw0=")</f>
        <v>#VALUE!</v>
      </c>
      <c r="O4" t="e">
        <f>AND('Prezračevanje '!E65,"AAAAAFB+cw4=")</f>
        <v>#VALUE!</v>
      </c>
      <c r="P4" t="e">
        <f>AND('Prezračevanje '!F65,"AAAAAFB+cw8=")</f>
        <v>#VALUE!</v>
      </c>
      <c r="Q4" t="e">
        <f>AND('Prezračevanje '!G65,"AAAAAFB+cxA=")</f>
        <v>#VALUE!</v>
      </c>
      <c r="R4" t="e">
        <f>AND('Prezračevanje '!H65,"AAAAAFB+cxE=")</f>
        <v>#VALUE!</v>
      </c>
      <c r="S4" t="e">
        <f>AND('Prezračevanje '!I65,"AAAAAFB+cxI=")</f>
        <v>#VALUE!</v>
      </c>
      <c r="T4" t="e">
        <f>AND('Prezračevanje '!J65,"AAAAAFB+cxM=")</f>
        <v>#VALUE!</v>
      </c>
      <c r="U4">
        <f>IF('Prezračevanje '!66:66,"AAAAAFB+cxQ=",0)</f>
        <v>0</v>
      </c>
      <c r="V4" t="e">
        <f>AND('Prezračevanje '!A66,"AAAAAFB+cxU=")</f>
        <v>#VALUE!</v>
      </c>
      <c r="W4" t="e">
        <f>AND('Prezračevanje '!B66,"AAAAAFB+cxY=")</f>
        <v>#VALUE!</v>
      </c>
      <c r="X4" t="e">
        <f>AND('Prezračevanje '!C66,"AAAAAFB+cxc=")</f>
        <v>#VALUE!</v>
      </c>
      <c r="Y4" t="e">
        <f>AND('Prezračevanje '!D66,"AAAAAFB+cxg=")</f>
        <v>#VALUE!</v>
      </c>
      <c r="Z4" t="e">
        <f>AND('Prezračevanje '!E66,"AAAAAFB+cxk=")</f>
        <v>#VALUE!</v>
      </c>
      <c r="AA4" t="e">
        <f>AND('Prezračevanje '!F66,"AAAAAFB+cxo=")</f>
        <v>#VALUE!</v>
      </c>
      <c r="AB4" t="e">
        <f>AND('Prezračevanje '!G66,"AAAAAFB+cxs=")</f>
        <v>#VALUE!</v>
      </c>
      <c r="AC4" t="e">
        <f>AND('Prezračevanje '!H66,"AAAAAFB+cxw=")</f>
        <v>#VALUE!</v>
      </c>
      <c r="AD4" t="e">
        <f>AND('Prezračevanje '!I66,"AAAAAFB+cx0=")</f>
        <v>#VALUE!</v>
      </c>
      <c r="AE4" t="e">
        <f>AND('Prezračevanje '!J66,"AAAAAFB+cx4=")</f>
        <v>#VALUE!</v>
      </c>
      <c r="AF4">
        <f>IF('Prezračevanje '!67:67,"AAAAAFB+cx8=",0)</f>
        <v>0</v>
      </c>
      <c r="AG4" t="e">
        <f>AND('Prezračevanje '!A67,"AAAAAFB+cyA=")</f>
        <v>#VALUE!</v>
      </c>
      <c r="AH4" t="e">
        <f>AND('Prezračevanje '!B67,"AAAAAFB+cyE=")</f>
        <v>#VALUE!</v>
      </c>
      <c r="AI4" t="e">
        <f>AND('Prezračevanje '!C67,"AAAAAFB+cyI=")</f>
        <v>#VALUE!</v>
      </c>
      <c r="AJ4" t="e">
        <f>AND('Prezračevanje '!D67,"AAAAAFB+cyM=")</f>
        <v>#VALUE!</v>
      </c>
      <c r="AK4" t="e">
        <f>AND('Prezračevanje '!E67,"AAAAAFB+cyQ=")</f>
        <v>#VALUE!</v>
      </c>
      <c r="AL4" t="e">
        <f>AND('Prezračevanje '!F67,"AAAAAFB+cyU=")</f>
        <v>#VALUE!</v>
      </c>
      <c r="AM4" t="e">
        <f>AND('Prezračevanje '!G67,"AAAAAFB+cyY=")</f>
        <v>#VALUE!</v>
      </c>
      <c r="AN4" t="e">
        <f>AND('Prezračevanje '!H67,"AAAAAFB+cyc=")</f>
        <v>#VALUE!</v>
      </c>
      <c r="AO4" t="e">
        <f>AND('Prezračevanje '!I67,"AAAAAFB+cyg=")</f>
        <v>#VALUE!</v>
      </c>
      <c r="AP4" t="e">
        <f>AND('Prezračevanje '!J67,"AAAAAFB+cyk=")</f>
        <v>#VALUE!</v>
      </c>
      <c r="AQ4">
        <f>IF('Prezračevanje '!68:68,"AAAAAFB+cyo=",0)</f>
        <v>0</v>
      </c>
      <c r="AR4" t="e">
        <f>AND('Prezračevanje '!A68,"AAAAAFB+cys=")</f>
        <v>#VALUE!</v>
      </c>
      <c r="AS4" t="e">
        <f>AND('Prezračevanje '!B68,"AAAAAFB+cyw=")</f>
        <v>#VALUE!</v>
      </c>
      <c r="AT4" t="e">
        <f>AND('Prezračevanje '!C68,"AAAAAFB+cy0=")</f>
        <v>#VALUE!</v>
      </c>
      <c r="AU4" t="e">
        <f>AND('Prezračevanje '!D68,"AAAAAFB+cy4=")</f>
        <v>#VALUE!</v>
      </c>
      <c r="AV4" t="e">
        <f>AND('Prezračevanje '!E68,"AAAAAFB+cy8=")</f>
        <v>#VALUE!</v>
      </c>
      <c r="AW4" t="e">
        <f>AND('Prezračevanje '!F68,"AAAAAFB+czA=")</f>
        <v>#VALUE!</v>
      </c>
      <c r="AX4" t="e">
        <f>AND('Prezračevanje '!G68,"AAAAAFB+czE=")</f>
        <v>#VALUE!</v>
      </c>
      <c r="AY4" t="e">
        <f>AND('Prezračevanje '!H68,"AAAAAFB+czI=")</f>
        <v>#VALUE!</v>
      </c>
      <c r="AZ4" t="e">
        <f>AND('Prezračevanje '!I68,"AAAAAFB+czM=")</f>
        <v>#VALUE!</v>
      </c>
      <c r="BA4" t="e">
        <f>AND('Prezračevanje '!J68,"AAAAAFB+czQ=")</f>
        <v>#VALUE!</v>
      </c>
      <c r="BB4">
        <f>IF('Prezračevanje '!69:69,"AAAAAFB+czU=",0)</f>
        <v>0</v>
      </c>
      <c r="BC4" t="e">
        <f>AND('Prezračevanje '!A69,"AAAAAFB+czY=")</f>
        <v>#VALUE!</v>
      </c>
      <c r="BD4" t="e">
        <f>AND('Prezračevanje '!B69,"AAAAAFB+czc=")</f>
        <v>#VALUE!</v>
      </c>
      <c r="BE4" t="e">
        <f>AND('Prezračevanje '!C69,"AAAAAFB+czg=")</f>
        <v>#VALUE!</v>
      </c>
      <c r="BF4" t="e">
        <f>AND('Prezračevanje '!D69,"AAAAAFB+czk=")</f>
        <v>#VALUE!</v>
      </c>
      <c r="BG4" t="e">
        <f>AND('Prezračevanje '!E69,"AAAAAFB+czo=")</f>
        <v>#VALUE!</v>
      </c>
      <c r="BH4" t="e">
        <f>AND('Prezračevanje '!F69,"AAAAAFB+czs=")</f>
        <v>#VALUE!</v>
      </c>
      <c r="BI4" t="e">
        <f>AND('Prezračevanje '!G69,"AAAAAFB+czw=")</f>
        <v>#VALUE!</v>
      </c>
      <c r="BJ4" t="e">
        <f>AND('Prezračevanje '!H69,"AAAAAFB+cz0=")</f>
        <v>#VALUE!</v>
      </c>
      <c r="BK4" t="e">
        <f>AND('Prezračevanje '!I69,"AAAAAFB+cz4=")</f>
        <v>#VALUE!</v>
      </c>
      <c r="BL4" t="e">
        <f>AND('Prezračevanje '!J69,"AAAAAFB+cz8=")</f>
        <v>#VALUE!</v>
      </c>
      <c r="BM4">
        <f>IF('Prezračevanje '!70:70,"AAAAAFB+c0A=",0)</f>
        <v>0</v>
      </c>
      <c r="BN4" t="e">
        <f>AND('Prezračevanje '!A70,"AAAAAFB+c0E=")</f>
        <v>#VALUE!</v>
      </c>
      <c r="BO4" t="e">
        <f>AND('Prezračevanje '!B70,"AAAAAFB+c0I=")</f>
        <v>#VALUE!</v>
      </c>
      <c r="BP4" t="e">
        <f>AND('Prezračevanje '!C70,"AAAAAFB+c0M=")</f>
        <v>#VALUE!</v>
      </c>
      <c r="BQ4" t="e">
        <f>AND('Prezračevanje '!D70,"AAAAAFB+c0Q=")</f>
        <v>#VALUE!</v>
      </c>
      <c r="BR4" t="e">
        <f>AND('Prezračevanje '!E70,"AAAAAFB+c0U=")</f>
        <v>#VALUE!</v>
      </c>
      <c r="BS4" t="e">
        <f>AND('Prezračevanje '!F70,"AAAAAFB+c0Y=")</f>
        <v>#VALUE!</v>
      </c>
      <c r="BT4" t="e">
        <f>AND('Prezračevanje '!G70,"AAAAAFB+c0c=")</f>
        <v>#VALUE!</v>
      </c>
      <c r="BU4" t="e">
        <f>AND('Prezračevanje '!H70,"AAAAAFB+c0g=")</f>
        <v>#VALUE!</v>
      </c>
      <c r="BV4" t="e">
        <f>AND('Prezračevanje '!I70,"AAAAAFB+c0k=")</f>
        <v>#VALUE!</v>
      </c>
      <c r="BW4" t="e">
        <f>AND('Prezračevanje '!J70,"AAAAAFB+c0o=")</f>
        <v>#VALUE!</v>
      </c>
      <c r="BX4">
        <f>IF('Prezračevanje '!71:71,"AAAAAFB+c0s=",0)</f>
        <v>0</v>
      </c>
      <c r="BY4" t="e">
        <f>AND('Prezračevanje '!A71,"AAAAAFB+c0w=")</f>
        <v>#VALUE!</v>
      </c>
      <c r="BZ4" t="e">
        <f>AND('Prezračevanje '!B71,"AAAAAFB+c00=")</f>
        <v>#VALUE!</v>
      </c>
      <c r="CA4" t="e">
        <f>AND('Prezračevanje '!C71,"AAAAAFB+c04=")</f>
        <v>#VALUE!</v>
      </c>
      <c r="CB4" t="e">
        <f>AND('Prezračevanje '!D71,"AAAAAFB+c08=")</f>
        <v>#VALUE!</v>
      </c>
      <c r="CC4" t="e">
        <f>AND('Prezračevanje '!E71,"AAAAAFB+c1A=")</f>
        <v>#VALUE!</v>
      </c>
      <c r="CD4" t="e">
        <f>AND('Prezračevanje '!F71,"AAAAAFB+c1E=")</f>
        <v>#VALUE!</v>
      </c>
      <c r="CE4" t="e">
        <f>AND('Prezračevanje '!G71,"AAAAAFB+c1I=")</f>
        <v>#VALUE!</v>
      </c>
      <c r="CF4" t="e">
        <f>AND('Prezračevanje '!H71,"AAAAAFB+c1M=")</f>
        <v>#VALUE!</v>
      </c>
      <c r="CG4" t="e">
        <f>AND('Prezračevanje '!I71,"AAAAAFB+c1Q=")</f>
        <v>#VALUE!</v>
      </c>
      <c r="CH4" t="e">
        <f>AND('Prezračevanje '!J71,"AAAAAFB+c1U=")</f>
        <v>#VALUE!</v>
      </c>
      <c r="CI4">
        <f>IF('Prezračevanje '!72:72,"AAAAAFB+c1Y=",0)</f>
        <v>0</v>
      </c>
      <c r="CJ4" t="e">
        <f>AND('Prezračevanje '!A72,"AAAAAFB+c1c=")</f>
        <v>#VALUE!</v>
      </c>
      <c r="CK4" t="e">
        <f>AND('Prezračevanje '!B72,"AAAAAFB+c1g=")</f>
        <v>#VALUE!</v>
      </c>
      <c r="CL4" t="e">
        <f>AND('Prezračevanje '!C72,"AAAAAFB+c1k=")</f>
        <v>#VALUE!</v>
      </c>
      <c r="CM4" t="e">
        <f>AND('Prezračevanje '!D72,"AAAAAFB+c1o=")</f>
        <v>#VALUE!</v>
      </c>
      <c r="CN4" t="e">
        <f>AND('Prezračevanje '!E72,"AAAAAFB+c1s=")</f>
        <v>#VALUE!</v>
      </c>
      <c r="CO4" t="e">
        <f>AND('Prezračevanje '!F72,"AAAAAFB+c1w=")</f>
        <v>#VALUE!</v>
      </c>
      <c r="CP4" t="e">
        <f>AND('Prezračevanje '!G72,"AAAAAFB+c10=")</f>
        <v>#VALUE!</v>
      </c>
      <c r="CQ4" t="e">
        <f>AND('Prezračevanje '!H72,"AAAAAFB+c14=")</f>
        <v>#VALUE!</v>
      </c>
      <c r="CR4" t="e">
        <f>AND('Prezračevanje '!I72,"AAAAAFB+c18=")</f>
        <v>#VALUE!</v>
      </c>
      <c r="CS4" t="e">
        <f>AND('Prezračevanje '!J72,"AAAAAFB+c2A=")</f>
        <v>#VALUE!</v>
      </c>
      <c r="CT4">
        <f>IF('Prezračevanje '!73:73,"AAAAAFB+c2E=",0)</f>
        <v>0</v>
      </c>
      <c r="CU4" t="e">
        <f>AND('Prezračevanje '!A73,"AAAAAFB+c2I=")</f>
        <v>#VALUE!</v>
      </c>
      <c r="CV4" t="e">
        <f>AND('Prezračevanje '!B73,"AAAAAFB+c2M=")</f>
        <v>#VALUE!</v>
      </c>
      <c r="CW4" t="e">
        <f>AND('Prezračevanje '!C73,"AAAAAFB+c2Q=")</f>
        <v>#VALUE!</v>
      </c>
      <c r="CX4" t="e">
        <f>AND('Prezračevanje '!D73,"AAAAAFB+c2U=")</f>
        <v>#VALUE!</v>
      </c>
      <c r="CY4" t="e">
        <f>AND('Prezračevanje '!E73,"AAAAAFB+c2Y=")</f>
        <v>#VALUE!</v>
      </c>
      <c r="CZ4" t="e">
        <f>AND('Prezračevanje '!F73,"AAAAAFB+c2c=")</f>
        <v>#VALUE!</v>
      </c>
      <c r="DA4" t="e">
        <f>AND('Prezračevanje '!G73,"AAAAAFB+c2g=")</f>
        <v>#VALUE!</v>
      </c>
      <c r="DB4" t="e">
        <f>AND('Prezračevanje '!H73,"AAAAAFB+c2k=")</f>
        <v>#VALUE!</v>
      </c>
      <c r="DC4" t="e">
        <f>AND('Prezračevanje '!I73,"AAAAAFB+c2o=")</f>
        <v>#VALUE!</v>
      </c>
      <c r="DD4" t="e">
        <f>AND('Prezračevanje '!J73,"AAAAAFB+c2s=")</f>
        <v>#VALUE!</v>
      </c>
      <c r="DE4">
        <f>IF('Prezračevanje '!74:74,"AAAAAFB+c2w=",0)</f>
        <v>0</v>
      </c>
      <c r="DF4" t="e">
        <f>AND('Prezračevanje '!A74,"AAAAAFB+c20=")</f>
        <v>#VALUE!</v>
      </c>
      <c r="DG4" t="e">
        <f>AND('Prezračevanje '!B74,"AAAAAFB+c24=")</f>
        <v>#VALUE!</v>
      </c>
      <c r="DH4" t="e">
        <f>AND('Prezračevanje '!C74,"AAAAAFB+c28=")</f>
        <v>#VALUE!</v>
      </c>
      <c r="DI4" t="e">
        <f>AND('Prezračevanje '!D74,"AAAAAFB+c3A=")</f>
        <v>#VALUE!</v>
      </c>
      <c r="DJ4" t="e">
        <f>AND('Prezračevanje '!E74,"AAAAAFB+c3E=")</f>
        <v>#VALUE!</v>
      </c>
      <c r="DK4" t="e">
        <f>AND('Prezračevanje '!F74,"AAAAAFB+c3I=")</f>
        <v>#VALUE!</v>
      </c>
      <c r="DL4" t="e">
        <f>AND('Prezračevanje '!G74,"AAAAAFB+c3M=")</f>
        <v>#VALUE!</v>
      </c>
      <c r="DM4" t="e">
        <f>AND('Prezračevanje '!H74,"AAAAAFB+c3Q=")</f>
        <v>#VALUE!</v>
      </c>
      <c r="DN4" t="e">
        <f>AND('Prezračevanje '!I74,"AAAAAFB+c3U=")</f>
        <v>#VALUE!</v>
      </c>
      <c r="DO4" t="e">
        <f>AND('Prezračevanje '!J74,"AAAAAFB+c3Y=")</f>
        <v>#VALUE!</v>
      </c>
      <c r="DP4">
        <f>IF('Prezračevanje '!75:75,"AAAAAFB+c3c=",0)</f>
        <v>0</v>
      </c>
      <c r="DQ4" t="e">
        <f>AND('Prezračevanje '!A75,"AAAAAFB+c3g=")</f>
        <v>#VALUE!</v>
      </c>
      <c r="DR4" t="e">
        <f>AND('Prezračevanje '!B75,"AAAAAFB+c3k=")</f>
        <v>#VALUE!</v>
      </c>
      <c r="DS4" t="e">
        <f>AND('Prezračevanje '!C75,"AAAAAFB+c3o=")</f>
        <v>#VALUE!</v>
      </c>
      <c r="DT4" t="e">
        <f>AND('Prezračevanje '!D75,"AAAAAFB+c3s=")</f>
        <v>#VALUE!</v>
      </c>
      <c r="DU4" t="e">
        <f>AND('Prezračevanje '!E75,"AAAAAFB+c3w=")</f>
        <v>#VALUE!</v>
      </c>
      <c r="DV4" t="e">
        <f>AND('Prezračevanje '!F75,"AAAAAFB+c30=")</f>
        <v>#VALUE!</v>
      </c>
      <c r="DW4" t="e">
        <f>AND('Prezračevanje '!G75,"AAAAAFB+c34=")</f>
        <v>#VALUE!</v>
      </c>
      <c r="DX4" t="e">
        <f>AND('Prezračevanje '!H75,"AAAAAFB+c38=")</f>
        <v>#VALUE!</v>
      </c>
      <c r="DY4" t="e">
        <f>AND('Prezračevanje '!I75,"AAAAAFB+c4A=")</f>
        <v>#VALUE!</v>
      </c>
      <c r="DZ4" t="e">
        <f>AND('Prezračevanje '!J75,"AAAAAFB+c4E=")</f>
        <v>#VALUE!</v>
      </c>
      <c r="EA4">
        <f>IF('Prezračevanje '!76:76,"AAAAAFB+c4I=",0)</f>
        <v>0</v>
      </c>
      <c r="EB4" t="e">
        <f>AND('Prezračevanje '!A76,"AAAAAFB+c4M=")</f>
        <v>#VALUE!</v>
      </c>
      <c r="EC4" t="e">
        <f>AND('Prezračevanje '!B76,"AAAAAFB+c4Q=")</f>
        <v>#VALUE!</v>
      </c>
      <c r="ED4" t="e">
        <f>AND('Prezračevanje '!C76,"AAAAAFB+c4U=")</f>
        <v>#VALUE!</v>
      </c>
      <c r="EE4" t="e">
        <f>AND('Prezračevanje '!D76,"AAAAAFB+c4Y=")</f>
        <v>#VALUE!</v>
      </c>
      <c r="EF4" t="e">
        <f>AND('Prezračevanje '!E76,"AAAAAFB+c4c=")</f>
        <v>#VALUE!</v>
      </c>
      <c r="EG4" t="e">
        <f>AND('Prezračevanje '!F76,"AAAAAFB+c4g=")</f>
        <v>#VALUE!</v>
      </c>
      <c r="EH4" t="e">
        <f>AND('Prezračevanje '!G76,"AAAAAFB+c4k=")</f>
        <v>#VALUE!</v>
      </c>
      <c r="EI4" t="e">
        <f>AND('Prezračevanje '!H76,"AAAAAFB+c4o=")</f>
        <v>#VALUE!</v>
      </c>
      <c r="EJ4" t="e">
        <f>AND('Prezračevanje '!I76,"AAAAAFB+c4s=")</f>
        <v>#VALUE!</v>
      </c>
      <c r="EK4" t="e">
        <f>AND('Prezračevanje '!J76,"AAAAAFB+c4w=")</f>
        <v>#VALUE!</v>
      </c>
      <c r="EL4">
        <f>IF('Prezračevanje '!77:77,"AAAAAFB+c40=",0)</f>
        <v>0</v>
      </c>
      <c r="EM4" t="e">
        <f>AND('Prezračevanje '!A77,"AAAAAFB+c44=")</f>
        <v>#VALUE!</v>
      </c>
      <c r="EN4" t="e">
        <f>AND('Prezračevanje '!B77,"AAAAAFB+c48=")</f>
        <v>#VALUE!</v>
      </c>
      <c r="EO4" t="e">
        <f>AND('Prezračevanje '!C77,"AAAAAFB+c5A=")</f>
        <v>#VALUE!</v>
      </c>
      <c r="EP4" t="e">
        <f>AND('Prezračevanje '!D77,"AAAAAFB+c5E=")</f>
        <v>#VALUE!</v>
      </c>
      <c r="EQ4" t="e">
        <f>AND('Prezračevanje '!E77,"AAAAAFB+c5I=")</f>
        <v>#VALUE!</v>
      </c>
      <c r="ER4" t="e">
        <f>AND('Prezračevanje '!F77,"AAAAAFB+c5M=")</f>
        <v>#VALUE!</v>
      </c>
      <c r="ES4" t="e">
        <f>AND('Prezračevanje '!G77,"AAAAAFB+c5Q=")</f>
        <v>#VALUE!</v>
      </c>
      <c r="ET4" t="e">
        <f>AND('Prezračevanje '!H77,"AAAAAFB+c5U=")</f>
        <v>#VALUE!</v>
      </c>
      <c r="EU4" t="e">
        <f>AND('Prezračevanje '!I77,"AAAAAFB+c5Y=")</f>
        <v>#VALUE!</v>
      </c>
      <c r="EV4" t="e">
        <f>AND('Prezračevanje '!J77,"AAAAAFB+c5c=")</f>
        <v>#VALUE!</v>
      </c>
      <c r="EW4">
        <f>IF('Prezračevanje '!78:78,"AAAAAFB+c5g=",0)</f>
        <v>0</v>
      </c>
      <c r="EX4" t="e">
        <f>AND('Prezračevanje '!A78,"AAAAAFB+c5k=")</f>
        <v>#VALUE!</v>
      </c>
      <c r="EY4" t="e">
        <f>AND('Prezračevanje '!B78,"AAAAAFB+c5o=")</f>
        <v>#VALUE!</v>
      </c>
      <c r="EZ4" t="e">
        <f>AND('Prezračevanje '!C78,"AAAAAFB+c5s=")</f>
        <v>#VALUE!</v>
      </c>
      <c r="FA4" t="e">
        <f>AND('Prezračevanje '!D78,"AAAAAFB+c5w=")</f>
        <v>#VALUE!</v>
      </c>
      <c r="FB4" t="e">
        <f>AND('Prezračevanje '!E78,"AAAAAFB+c50=")</f>
        <v>#VALUE!</v>
      </c>
      <c r="FC4" t="e">
        <f>AND('Prezračevanje '!F78,"AAAAAFB+c54=")</f>
        <v>#VALUE!</v>
      </c>
      <c r="FD4" t="e">
        <f>AND('Prezračevanje '!G78,"AAAAAFB+c58=")</f>
        <v>#VALUE!</v>
      </c>
      <c r="FE4" t="e">
        <f>AND('Prezračevanje '!H78,"AAAAAFB+c6A=")</f>
        <v>#VALUE!</v>
      </c>
      <c r="FF4" t="e">
        <f>AND('Prezračevanje '!I78,"AAAAAFB+c6E=")</f>
        <v>#VALUE!</v>
      </c>
      <c r="FG4" t="e">
        <f>AND('Prezračevanje '!J78,"AAAAAFB+c6I=")</f>
        <v>#VALUE!</v>
      </c>
      <c r="FH4">
        <f>IF('Prezračevanje '!79:79,"AAAAAFB+c6M=",0)</f>
        <v>0</v>
      </c>
      <c r="FI4" t="e">
        <f>AND('Prezračevanje '!A79,"AAAAAFB+c6Q=")</f>
        <v>#VALUE!</v>
      </c>
      <c r="FJ4" t="e">
        <f>AND('Prezračevanje '!B79,"AAAAAFB+c6U=")</f>
        <v>#VALUE!</v>
      </c>
      <c r="FK4" t="e">
        <f>AND('Prezračevanje '!C79,"AAAAAFB+c6Y=")</f>
        <v>#VALUE!</v>
      </c>
      <c r="FL4" t="e">
        <f>AND('Prezračevanje '!D79,"AAAAAFB+c6c=")</f>
        <v>#VALUE!</v>
      </c>
      <c r="FM4" t="e">
        <f>AND('Prezračevanje '!E79,"AAAAAFB+c6g=")</f>
        <v>#VALUE!</v>
      </c>
      <c r="FN4" t="e">
        <f>AND('Prezračevanje '!F79,"AAAAAFB+c6k=")</f>
        <v>#VALUE!</v>
      </c>
      <c r="FO4" t="e">
        <f>AND('Prezračevanje '!G79,"AAAAAFB+c6o=")</f>
        <v>#VALUE!</v>
      </c>
      <c r="FP4" t="e">
        <f>AND('Prezračevanje '!H79,"AAAAAFB+c6s=")</f>
        <v>#VALUE!</v>
      </c>
      <c r="FQ4" t="e">
        <f>AND('Prezračevanje '!I79,"AAAAAFB+c6w=")</f>
        <v>#VALUE!</v>
      </c>
      <c r="FR4" t="e">
        <f>AND('Prezračevanje '!J79,"AAAAAFB+c60=")</f>
        <v>#VALUE!</v>
      </c>
      <c r="FS4">
        <f>IF('Prezračevanje '!80:80,"AAAAAFB+c64=",0)</f>
        <v>0</v>
      </c>
      <c r="FT4" t="e">
        <f>AND('Prezračevanje '!A80,"AAAAAFB+c68=")</f>
        <v>#VALUE!</v>
      </c>
      <c r="FU4" t="e">
        <f>AND('Prezračevanje '!B80,"AAAAAFB+c7A=")</f>
        <v>#VALUE!</v>
      </c>
      <c r="FV4" t="e">
        <f>AND('Prezračevanje '!C80,"AAAAAFB+c7E=")</f>
        <v>#VALUE!</v>
      </c>
      <c r="FW4" t="e">
        <f>AND('Prezračevanje '!D80,"AAAAAFB+c7I=")</f>
        <v>#VALUE!</v>
      </c>
      <c r="FX4" t="e">
        <f>AND('Prezračevanje '!E80,"AAAAAFB+c7M=")</f>
        <v>#VALUE!</v>
      </c>
      <c r="FY4" t="e">
        <f>AND('Prezračevanje '!F80,"AAAAAFB+c7Q=")</f>
        <v>#VALUE!</v>
      </c>
      <c r="FZ4" t="e">
        <f>AND('Prezračevanje '!G80,"AAAAAFB+c7U=")</f>
        <v>#VALUE!</v>
      </c>
      <c r="GA4" t="e">
        <f>AND('Prezračevanje '!H80,"AAAAAFB+c7Y=")</f>
        <v>#VALUE!</v>
      </c>
      <c r="GB4" t="e">
        <f>AND('Prezračevanje '!I80,"AAAAAFB+c7c=")</f>
        <v>#VALUE!</v>
      </c>
      <c r="GC4" t="e">
        <f>AND('Prezračevanje '!J80,"AAAAAFB+c7g=")</f>
        <v>#VALUE!</v>
      </c>
      <c r="GD4">
        <f>IF('Prezračevanje '!81:81,"AAAAAFB+c7k=",0)</f>
        <v>0</v>
      </c>
      <c r="GE4" t="e">
        <f>AND('Prezračevanje '!A81,"AAAAAFB+c7o=")</f>
        <v>#VALUE!</v>
      </c>
      <c r="GF4" t="e">
        <f>AND('Prezračevanje '!B81,"AAAAAFB+c7s=")</f>
        <v>#VALUE!</v>
      </c>
      <c r="GG4" t="e">
        <f>AND('Prezračevanje '!C81,"AAAAAFB+c7w=")</f>
        <v>#VALUE!</v>
      </c>
      <c r="GH4" t="e">
        <f>AND('Prezračevanje '!D81,"AAAAAFB+c70=")</f>
        <v>#VALUE!</v>
      </c>
      <c r="GI4" t="e">
        <f>AND('Prezračevanje '!E81,"AAAAAFB+c74=")</f>
        <v>#VALUE!</v>
      </c>
      <c r="GJ4" t="e">
        <f>AND('Prezračevanje '!F81,"AAAAAFB+c78=")</f>
        <v>#VALUE!</v>
      </c>
      <c r="GK4" t="e">
        <f>AND('Prezračevanje '!G81,"AAAAAFB+c8A=")</f>
        <v>#VALUE!</v>
      </c>
      <c r="GL4" t="e">
        <f>AND('Prezračevanje '!H81,"AAAAAFB+c8E=")</f>
        <v>#VALUE!</v>
      </c>
      <c r="GM4" t="e">
        <f>AND('Prezračevanje '!I81,"AAAAAFB+c8I=")</f>
        <v>#VALUE!</v>
      </c>
      <c r="GN4" t="e">
        <f>AND('Prezračevanje '!J81,"AAAAAFB+c8M=")</f>
        <v>#VALUE!</v>
      </c>
      <c r="GO4" t="e">
        <f>IF('Prezračevanje '!#REF!,"AAAAAFB+c8Q=",0)</f>
        <v>#REF!</v>
      </c>
      <c r="GP4" t="e">
        <f>AND('Prezračevanje '!#REF!,"AAAAAFB+c8U=")</f>
        <v>#REF!</v>
      </c>
      <c r="GQ4" t="e">
        <f>AND('Prezračevanje '!#REF!,"AAAAAFB+c8Y=")</f>
        <v>#REF!</v>
      </c>
      <c r="GR4" t="e">
        <f>AND('Prezračevanje '!#REF!,"AAAAAFB+c8c=")</f>
        <v>#REF!</v>
      </c>
      <c r="GS4" t="e">
        <f>AND('Prezračevanje '!#REF!,"AAAAAFB+c8g=")</f>
        <v>#REF!</v>
      </c>
      <c r="GT4" t="e">
        <f>AND('Prezračevanje '!#REF!,"AAAAAFB+c8k=")</f>
        <v>#REF!</v>
      </c>
      <c r="GU4" t="e">
        <f>AND('Prezračevanje '!#REF!,"AAAAAFB+c8o=")</f>
        <v>#REF!</v>
      </c>
      <c r="GV4" t="e">
        <f>AND('Prezračevanje '!#REF!,"AAAAAFB+c8s=")</f>
        <v>#REF!</v>
      </c>
      <c r="GW4" t="e">
        <f>AND('Prezračevanje '!#REF!,"AAAAAFB+c8w=")</f>
        <v>#REF!</v>
      </c>
      <c r="GX4" t="e">
        <f>AND('Prezračevanje '!#REF!,"AAAAAFB+c80=")</f>
        <v>#REF!</v>
      </c>
      <c r="GY4" t="e">
        <f>AND('Prezračevanje '!#REF!,"AAAAAFB+c84=")</f>
        <v>#REF!</v>
      </c>
      <c r="GZ4" t="e">
        <f>IF('Prezračevanje '!#REF!,"AAAAAFB+c88=",0)</f>
        <v>#REF!</v>
      </c>
      <c r="HA4" t="e">
        <f>AND('Prezračevanje '!#REF!,"AAAAAFB+c9A=")</f>
        <v>#REF!</v>
      </c>
      <c r="HB4" t="e">
        <f>AND('Prezračevanje '!#REF!,"AAAAAFB+c9E=")</f>
        <v>#REF!</v>
      </c>
      <c r="HC4" t="e">
        <f>AND('Prezračevanje '!#REF!,"AAAAAFB+c9I=")</f>
        <v>#REF!</v>
      </c>
      <c r="HD4" t="e">
        <f>AND('Prezračevanje '!#REF!,"AAAAAFB+c9M=")</f>
        <v>#REF!</v>
      </c>
      <c r="HE4" t="e">
        <f>AND('Prezračevanje '!#REF!,"AAAAAFB+c9Q=")</f>
        <v>#REF!</v>
      </c>
      <c r="HF4" t="e">
        <f>AND('Prezračevanje '!#REF!,"AAAAAFB+c9U=")</f>
        <v>#REF!</v>
      </c>
      <c r="HG4" t="e">
        <f>AND('Prezračevanje '!#REF!,"AAAAAFB+c9Y=")</f>
        <v>#REF!</v>
      </c>
      <c r="HH4" t="e">
        <f>AND('Prezračevanje '!#REF!,"AAAAAFB+c9c=")</f>
        <v>#REF!</v>
      </c>
      <c r="HI4" t="e">
        <f>AND('Prezračevanje '!#REF!,"AAAAAFB+c9g=")</f>
        <v>#REF!</v>
      </c>
      <c r="HJ4" t="e">
        <f>AND('Prezračevanje '!#REF!,"AAAAAFB+c9k=")</f>
        <v>#REF!</v>
      </c>
      <c r="HK4" t="e">
        <f>IF('Prezračevanje '!#REF!,"AAAAAFB+c9o=",0)</f>
        <v>#REF!</v>
      </c>
      <c r="HL4" t="e">
        <f>AND('Prezračevanje '!#REF!,"AAAAAFB+c9s=")</f>
        <v>#REF!</v>
      </c>
      <c r="HM4" t="e">
        <f>AND('Prezračevanje '!#REF!,"AAAAAFB+c9w=")</f>
        <v>#REF!</v>
      </c>
      <c r="HN4" t="e">
        <f>AND('Prezračevanje '!#REF!,"AAAAAFB+c90=")</f>
        <v>#REF!</v>
      </c>
      <c r="HO4" t="e">
        <f>AND('Prezračevanje '!#REF!,"AAAAAFB+c94=")</f>
        <v>#REF!</v>
      </c>
      <c r="HP4" t="e">
        <f>AND('Prezračevanje '!#REF!,"AAAAAFB+c98=")</f>
        <v>#REF!</v>
      </c>
      <c r="HQ4" t="e">
        <f>AND('Prezračevanje '!#REF!,"AAAAAFB+c+A=")</f>
        <v>#REF!</v>
      </c>
      <c r="HR4" t="e">
        <f>AND('Prezračevanje '!#REF!,"AAAAAFB+c+E=")</f>
        <v>#REF!</v>
      </c>
      <c r="HS4" t="e">
        <f>AND('Prezračevanje '!#REF!,"AAAAAFB+c+I=")</f>
        <v>#REF!</v>
      </c>
      <c r="HT4" t="e">
        <f>AND('Prezračevanje '!#REF!,"AAAAAFB+c+M=")</f>
        <v>#REF!</v>
      </c>
      <c r="HU4" t="e">
        <f>AND('Prezračevanje '!#REF!,"AAAAAFB+c+Q=")</f>
        <v>#REF!</v>
      </c>
      <c r="HV4">
        <f>IF('Prezračevanje '!82:82,"AAAAAFB+c+U=",0)</f>
        <v>0</v>
      </c>
      <c r="HW4" t="e">
        <f>AND('Prezračevanje '!A82,"AAAAAFB+c+Y=")</f>
        <v>#VALUE!</v>
      </c>
      <c r="HX4" t="e">
        <f>AND('Prezračevanje '!B82,"AAAAAFB+c+c=")</f>
        <v>#VALUE!</v>
      </c>
      <c r="HY4" t="e">
        <f>AND('Prezračevanje '!C82,"AAAAAFB+c+g=")</f>
        <v>#VALUE!</v>
      </c>
      <c r="HZ4" t="e">
        <f>AND('Prezračevanje '!D82,"AAAAAFB+c+k=")</f>
        <v>#VALUE!</v>
      </c>
      <c r="IA4" t="e">
        <f>AND('Prezračevanje '!E82,"AAAAAFB+c+o=")</f>
        <v>#VALUE!</v>
      </c>
      <c r="IB4" t="e">
        <f>AND('Prezračevanje '!F82,"AAAAAFB+c+s=")</f>
        <v>#VALUE!</v>
      </c>
      <c r="IC4" t="e">
        <f>AND('Prezračevanje '!G82,"AAAAAFB+c+w=")</f>
        <v>#VALUE!</v>
      </c>
      <c r="ID4" t="e">
        <f>AND('Prezračevanje '!H82,"AAAAAFB+c+0=")</f>
        <v>#VALUE!</v>
      </c>
      <c r="IE4" t="e">
        <f>AND('Prezračevanje '!I82,"AAAAAFB+c+4=")</f>
        <v>#VALUE!</v>
      </c>
      <c r="IF4" t="e">
        <f>AND('Prezračevanje '!J82,"AAAAAFB+c+8=")</f>
        <v>#VALUE!</v>
      </c>
      <c r="IG4">
        <f>IF('Prezračevanje '!83:83,"AAAAAFB+c/A=",0)</f>
        <v>0</v>
      </c>
      <c r="IH4" t="e">
        <f>AND('Prezračevanje '!A83,"AAAAAFB+c/E=")</f>
        <v>#VALUE!</v>
      </c>
      <c r="II4" t="e">
        <f>AND('Prezračevanje '!B83,"AAAAAFB+c/I=")</f>
        <v>#VALUE!</v>
      </c>
      <c r="IJ4" t="e">
        <f>AND('Prezračevanje '!C83,"AAAAAFB+c/M=")</f>
        <v>#VALUE!</v>
      </c>
      <c r="IK4" t="e">
        <f>AND('Prezračevanje '!D83,"AAAAAFB+c/Q=")</f>
        <v>#VALUE!</v>
      </c>
      <c r="IL4" t="e">
        <f>AND('Prezračevanje '!E83,"AAAAAFB+c/U=")</f>
        <v>#VALUE!</v>
      </c>
      <c r="IM4" t="e">
        <f>AND('Prezračevanje '!F83,"AAAAAFB+c/Y=")</f>
        <v>#VALUE!</v>
      </c>
      <c r="IN4" t="e">
        <f>AND('Prezračevanje '!G83,"AAAAAFB+c/c=")</f>
        <v>#VALUE!</v>
      </c>
      <c r="IO4" t="e">
        <f>AND('Prezračevanje '!H83,"AAAAAFB+c/g=")</f>
        <v>#VALUE!</v>
      </c>
      <c r="IP4" t="e">
        <f>AND('Prezračevanje '!I83,"AAAAAFB+c/k=")</f>
        <v>#VALUE!</v>
      </c>
      <c r="IQ4" t="e">
        <f>AND('Prezračevanje '!J83,"AAAAAFB+c/o=")</f>
        <v>#VALUE!</v>
      </c>
      <c r="IR4">
        <f>IF('Prezračevanje '!84:84,"AAAAAFB+c/s=",0)</f>
        <v>0</v>
      </c>
      <c r="IS4" t="e">
        <f>AND('Prezračevanje '!A84,"AAAAAFB+c/w=")</f>
        <v>#VALUE!</v>
      </c>
      <c r="IT4" t="e">
        <f>AND('Prezračevanje '!B84,"AAAAAFB+c/0=")</f>
        <v>#VALUE!</v>
      </c>
      <c r="IU4" t="e">
        <f>AND('Prezračevanje '!C84,"AAAAAFB+c/4=")</f>
        <v>#VALUE!</v>
      </c>
      <c r="IV4" t="e">
        <f>AND('Prezračevanje '!D84,"AAAAAFB+c/8=")</f>
        <v>#VALUE!</v>
      </c>
    </row>
    <row r="5" spans="1:256" ht="12.75">
      <c r="A5" t="e">
        <f>AND('Prezračevanje '!E84,"AAAAAHUs7wA=")</f>
        <v>#VALUE!</v>
      </c>
      <c r="B5" t="e">
        <f>AND('Prezračevanje '!F84,"AAAAAHUs7wE=")</f>
        <v>#VALUE!</v>
      </c>
      <c r="C5" t="e">
        <f>AND('Prezračevanje '!G84,"AAAAAHUs7wI=")</f>
        <v>#VALUE!</v>
      </c>
      <c r="D5" t="e">
        <f>AND('Prezračevanje '!H84,"AAAAAHUs7wM=")</f>
        <v>#VALUE!</v>
      </c>
      <c r="E5" t="e">
        <f>AND('Prezračevanje '!I84,"AAAAAHUs7wQ=")</f>
        <v>#VALUE!</v>
      </c>
      <c r="F5" t="e">
        <f>AND('Prezračevanje '!J84,"AAAAAHUs7wU=")</f>
        <v>#VALUE!</v>
      </c>
      <c r="G5">
        <f>IF('Prezračevanje '!85:85,"AAAAAHUs7wY=",0)</f>
        <v>0</v>
      </c>
      <c r="H5" t="e">
        <f>AND('Prezračevanje '!A85,"AAAAAHUs7wc=")</f>
        <v>#VALUE!</v>
      </c>
      <c r="I5" t="e">
        <f>AND('Prezračevanje '!B85,"AAAAAHUs7wg=")</f>
        <v>#VALUE!</v>
      </c>
      <c r="J5" t="e">
        <f>AND('Prezračevanje '!C85,"AAAAAHUs7wk=")</f>
        <v>#VALUE!</v>
      </c>
      <c r="K5" t="e">
        <f>AND('Prezračevanje '!D85,"AAAAAHUs7wo=")</f>
        <v>#VALUE!</v>
      </c>
      <c r="L5" t="e">
        <f>AND('Prezračevanje '!E85,"AAAAAHUs7ws=")</f>
        <v>#VALUE!</v>
      </c>
      <c r="M5" t="e">
        <f>AND('Prezračevanje '!F85,"AAAAAHUs7ww=")</f>
        <v>#VALUE!</v>
      </c>
      <c r="N5" t="e">
        <f>AND('Prezračevanje '!G85,"AAAAAHUs7w0=")</f>
        <v>#VALUE!</v>
      </c>
      <c r="O5" t="e">
        <f>AND('Prezračevanje '!H85,"AAAAAHUs7w4=")</f>
        <v>#VALUE!</v>
      </c>
      <c r="P5" t="e">
        <f>AND('Prezračevanje '!I85,"AAAAAHUs7w8=")</f>
        <v>#VALUE!</v>
      </c>
      <c r="Q5" t="e">
        <f>AND('Prezračevanje '!J85,"AAAAAHUs7xA=")</f>
        <v>#VALUE!</v>
      </c>
      <c r="R5">
        <f>IF('Prezračevanje '!86:86,"AAAAAHUs7xE=",0)</f>
        <v>0</v>
      </c>
      <c r="S5">
        <f>IF('Prezračevanje '!87:87,"AAAAAHUs7xI=",0)</f>
        <v>0</v>
      </c>
      <c r="T5">
        <f>IF('Prezračevanje '!88:88,"AAAAAHUs7xM=",0)</f>
        <v>0</v>
      </c>
      <c r="U5">
        <f>IF('Prezračevanje '!A:A,"AAAAAHUs7xQ=",0)</f>
        <v>0</v>
      </c>
      <c r="V5">
        <f>IF('Prezračevanje '!B:B,"AAAAAHUs7xU=",0)</f>
        <v>0</v>
      </c>
      <c r="W5">
        <f>IF('Prezračevanje '!C:C,"AAAAAHUs7xY=",0)</f>
        <v>0</v>
      </c>
      <c r="X5">
        <f>IF('Prezračevanje '!D:D,"AAAAAHUs7xc=",0)</f>
        <v>0</v>
      </c>
      <c r="Y5">
        <f>IF('Prezračevanje '!E:E,"AAAAAHUs7xg=",0)</f>
        <v>0</v>
      </c>
      <c r="Z5">
        <f>IF('Prezračevanje '!F:F,"AAAAAHUs7xk=",0)</f>
        <v>0</v>
      </c>
      <c r="AA5">
        <f>IF('Prezračevanje '!G:G,"AAAAAHUs7xo=",0)</f>
        <v>0</v>
      </c>
      <c r="AB5">
        <f>IF('Prezračevanje '!H:H,"AAAAAHUs7xs=",0)</f>
        <v>0</v>
      </c>
      <c r="AC5">
        <f>IF('Prezračevanje '!I:I,"AAAAAHUs7xw=",0)</f>
        <v>0</v>
      </c>
      <c r="AD5">
        <f>IF('Prezračevanje '!J:J,"AAAAAHUs7x0=",0)</f>
        <v>0</v>
      </c>
      <c r="AE5">
        <f>IF('Voda,Ogrevanje'!1:1,"AAAAAHUs7x4=",0)</f>
        <v>0</v>
      </c>
      <c r="AF5" t="e">
        <f>AND('Voda,Ogrevanje'!A1,"AAAAAHUs7x8=")</f>
        <v>#VALUE!</v>
      </c>
      <c r="AG5" t="e">
        <f>AND('Voda,Ogrevanje'!B1,"AAAAAHUs7yA=")</f>
        <v>#VALUE!</v>
      </c>
      <c r="AH5" t="e">
        <f>AND('Voda,Ogrevanje'!C1,"AAAAAHUs7yE=")</f>
        <v>#VALUE!</v>
      </c>
      <c r="AI5" t="e">
        <f>AND('Voda,Ogrevanje'!D1,"AAAAAHUs7yI=")</f>
        <v>#VALUE!</v>
      </c>
      <c r="AJ5" t="e">
        <f>AND('Voda,Ogrevanje'!E1,"AAAAAHUs7yM=")</f>
        <v>#VALUE!</v>
      </c>
      <c r="AK5" t="e">
        <f>AND('Voda,Ogrevanje'!F1,"AAAAAHUs7yQ=")</f>
        <v>#VALUE!</v>
      </c>
      <c r="AL5">
        <f>IF('Voda,Ogrevanje'!2:2,"AAAAAHUs7yU=",0)</f>
        <v>0</v>
      </c>
      <c r="AM5" t="e">
        <f>AND('Voda,Ogrevanje'!A2,"AAAAAHUs7yY=")</f>
        <v>#VALUE!</v>
      </c>
      <c r="AN5" t="e">
        <f>AND('Voda,Ogrevanje'!B2,"AAAAAHUs7yc=")</f>
        <v>#VALUE!</v>
      </c>
      <c r="AO5" t="e">
        <f>AND('Voda,Ogrevanje'!C2,"AAAAAHUs7yg=")</f>
        <v>#VALUE!</v>
      </c>
      <c r="AP5" t="e">
        <f>AND('Voda,Ogrevanje'!D2,"AAAAAHUs7yk=")</f>
        <v>#VALUE!</v>
      </c>
      <c r="AQ5" t="e">
        <f>AND('Voda,Ogrevanje'!E2,"AAAAAHUs7yo=")</f>
        <v>#VALUE!</v>
      </c>
      <c r="AR5" t="e">
        <f>AND('Voda,Ogrevanje'!F2,"AAAAAHUs7ys=")</f>
        <v>#VALUE!</v>
      </c>
      <c r="AS5">
        <f>IF('Voda,Ogrevanje'!3:3,"AAAAAHUs7yw=",0)</f>
        <v>0</v>
      </c>
      <c r="AT5" t="e">
        <f>AND('Voda,Ogrevanje'!A3,"AAAAAHUs7y0=")</f>
        <v>#VALUE!</v>
      </c>
      <c r="AU5" t="e">
        <f>AND('Voda,Ogrevanje'!B3,"AAAAAHUs7y4=")</f>
        <v>#VALUE!</v>
      </c>
      <c r="AV5" t="e">
        <f>AND('Voda,Ogrevanje'!C3,"AAAAAHUs7y8=")</f>
        <v>#VALUE!</v>
      </c>
      <c r="AW5" t="e">
        <f>AND('Voda,Ogrevanje'!D3,"AAAAAHUs7zA=")</f>
        <v>#VALUE!</v>
      </c>
      <c r="AX5" t="e">
        <f>AND('Voda,Ogrevanje'!E3,"AAAAAHUs7zE=")</f>
        <v>#VALUE!</v>
      </c>
      <c r="AY5" t="e">
        <f>AND('Voda,Ogrevanje'!F3,"AAAAAHUs7zI=")</f>
        <v>#VALUE!</v>
      </c>
      <c r="AZ5">
        <f>IF('Voda,Ogrevanje'!4:4,"AAAAAHUs7zM=",0)</f>
        <v>0</v>
      </c>
      <c r="BA5" t="e">
        <f>AND('Voda,Ogrevanje'!A4,"AAAAAHUs7zQ=")</f>
        <v>#VALUE!</v>
      </c>
      <c r="BB5" t="e">
        <f>AND('Voda,Ogrevanje'!B4,"AAAAAHUs7zU=")</f>
        <v>#VALUE!</v>
      </c>
      <c r="BC5" t="e">
        <f>AND('Voda,Ogrevanje'!C4,"AAAAAHUs7zY=")</f>
        <v>#VALUE!</v>
      </c>
      <c r="BD5" t="e">
        <f>AND('Voda,Ogrevanje'!D4,"AAAAAHUs7zc=")</f>
        <v>#VALUE!</v>
      </c>
      <c r="BE5" t="e">
        <f>AND('Voda,Ogrevanje'!E4,"AAAAAHUs7zg=")</f>
        <v>#VALUE!</v>
      </c>
      <c r="BF5" t="e">
        <f>AND('Voda,Ogrevanje'!F4,"AAAAAHUs7zk=")</f>
        <v>#VALUE!</v>
      </c>
      <c r="BG5">
        <f>IF('Voda,Ogrevanje'!5:5,"AAAAAHUs7zo=",0)</f>
        <v>0</v>
      </c>
      <c r="BH5" t="e">
        <f>AND('Voda,Ogrevanje'!A5,"AAAAAHUs7zs=")</f>
        <v>#VALUE!</v>
      </c>
      <c r="BI5" t="e">
        <f>AND('Voda,Ogrevanje'!B5,"AAAAAHUs7zw=")</f>
        <v>#VALUE!</v>
      </c>
      <c r="BJ5" t="e">
        <f>AND('Voda,Ogrevanje'!C5,"AAAAAHUs7z0=")</f>
        <v>#VALUE!</v>
      </c>
      <c r="BK5" t="e">
        <f>AND('Voda,Ogrevanje'!D5,"AAAAAHUs7z4=")</f>
        <v>#VALUE!</v>
      </c>
      <c r="BL5" t="e">
        <f>AND('Voda,Ogrevanje'!E5,"AAAAAHUs7z8=")</f>
        <v>#VALUE!</v>
      </c>
      <c r="BM5" t="e">
        <f>AND('Voda,Ogrevanje'!F5,"AAAAAHUs70A=")</f>
        <v>#VALUE!</v>
      </c>
      <c r="BN5">
        <f>IF('Voda,Ogrevanje'!6:6,"AAAAAHUs70E=",0)</f>
        <v>0</v>
      </c>
      <c r="BO5" t="e">
        <f>AND('Voda,Ogrevanje'!A6,"AAAAAHUs70I=")</f>
        <v>#VALUE!</v>
      </c>
      <c r="BP5" t="e">
        <f>AND('Voda,Ogrevanje'!B6,"AAAAAHUs70M=")</f>
        <v>#VALUE!</v>
      </c>
      <c r="BQ5" t="e">
        <f>AND('Voda,Ogrevanje'!C6,"AAAAAHUs70Q=")</f>
        <v>#VALUE!</v>
      </c>
      <c r="BR5" t="e">
        <f>AND('Voda,Ogrevanje'!D6,"AAAAAHUs70U=")</f>
        <v>#VALUE!</v>
      </c>
      <c r="BS5" t="e">
        <f>AND('Voda,Ogrevanje'!E6,"AAAAAHUs70Y=")</f>
        <v>#VALUE!</v>
      </c>
      <c r="BT5" t="e">
        <f>AND('Voda,Ogrevanje'!F6,"AAAAAHUs70c=")</f>
        <v>#VALUE!</v>
      </c>
      <c r="BU5">
        <f>IF('Voda,Ogrevanje'!7:7,"AAAAAHUs70g=",0)</f>
        <v>0</v>
      </c>
      <c r="BV5" t="e">
        <f>AND('Voda,Ogrevanje'!A7,"AAAAAHUs70k=")</f>
        <v>#VALUE!</v>
      </c>
      <c r="BW5" t="e">
        <f>AND('Voda,Ogrevanje'!B7,"AAAAAHUs70o=")</f>
        <v>#VALUE!</v>
      </c>
      <c r="BX5" t="e">
        <f>AND('Voda,Ogrevanje'!C7,"AAAAAHUs70s=")</f>
        <v>#VALUE!</v>
      </c>
      <c r="BY5" t="e">
        <f>AND('Voda,Ogrevanje'!D7,"AAAAAHUs70w=")</f>
        <v>#VALUE!</v>
      </c>
      <c r="BZ5" t="e">
        <f>AND('Voda,Ogrevanje'!E7,"AAAAAHUs700=")</f>
        <v>#VALUE!</v>
      </c>
      <c r="CA5" t="e">
        <f>AND('Voda,Ogrevanje'!F7,"AAAAAHUs704=")</f>
        <v>#VALUE!</v>
      </c>
      <c r="CB5">
        <f>IF('Voda,Ogrevanje'!8:8,"AAAAAHUs708=",0)</f>
        <v>0</v>
      </c>
      <c r="CC5" t="e">
        <f>AND('Voda,Ogrevanje'!A8,"AAAAAHUs71A=")</f>
        <v>#VALUE!</v>
      </c>
      <c r="CD5" t="e">
        <f>AND('Voda,Ogrevanje'!B8,"AAAAAHUs71E=")</f>
        <v>#VALUE!</v>
      </c>
      <c r="CE5" t="e">
        <f>AND('Voda,Ogrevanje'!C8,"AAAAAHUs71I=")</f>
        <v>#VALUE!</v>
      </c>
      <c r="CF5" t="e">
        <f>AND('Voda,Ogrevanje'!D8,"AAAAAHUs71M=")</f>
        <v>#VALUE!</v>
      </c>
      <c r="CG5" t="e">
        <f>AND('Voda,Ogrevanje'!E8,"AAAAAHUs71Q=")</f>
        <v>#VALUE!</v>
      </c>
      <c r="CH5" t="e">
        <f>AND('Voda,Ogrevanje'!F8,"AAAAAHUs71U=")</f>
        <v>#VALUE!</v>
      </c>
      <c r="CI5">
        <f>IF('Voda,Ogrevanje'!9:9,"AAAAAHUs71Y=",0)</f>
        <v>0</v>
      </c>
      <c r="CJ5" t="e">
        <f>AND('Voda,Ogrevanje'!A9,"AAAAAHUs71c=")</f>
        <v>#VALUE!</v>
      </c>
      <c r="CK5" t="e">
        <f>AND('Voda,Ogrevanje'!B9,"AAAAAHUs71g=")</f>
        <v>#VALUE!</v>
      </c>
      <c r="CL5" t="e">
        <f>AND('Voda,Ogrevanje'!C9,"AAAAAHUs71k=")</f>
        <v>#VALUE!</v>
      </c>
      <c r="CM5" t="e">
        <f>AND('Voda,Ogrevanje'!D9,"AAAAAHUs71o=")</f>
        <v>#VALUE!</v>
      </c>
      <c r="CN5" t="e">
        <f>AND('Voda,Ogrevanje'!E9,"AAAAAHUs71s=")</f>
        <v>#VALUE!</v>
      </c>
      <c r="CO5" t="e">
        <f>AND('Voda,Ogrevanje'!F9,"AAAAAHUs71w=")</f>
        <v>#VALUE!</v>
      </c>
      <c r="CP5">
        <f>IF('Voda,Ogrevanje'!10:10,"AAAAAHUs710=",0)</f>
        <v>0</v>
      </c>
      <c r="CQ5" t="e">
        <f>AND('Voda,Ogrevanje'!A10,"AAAAAHUs714=")</f>
        <v>#VALUE!</v>
      </c>
      <c r="CR5" t="e">
        <f>AND('Voda,Ogrevanje'!B10,"AAAAAHUs718=")</f>
        <v>#VALUE!</v>
      </c>
      <c r="CS5" t="e">
        <f>AND('Voda,Ogrevanje'!C10,"AAAAAHUs72A=")</f>
        <v>#VALUE!</v>
      </c>
      <c r="CT5" t="e">
        <f>AND('Voda,Ogrevanje'!D10,"AAAAAHUs72E=")</f>
        <v>#VALUE!</v>
      </c>
      <c r="CU5" t="e">
        <f>AND('Voda,Ogrevanje'!E10,"AAAAAHUs72I=")</f>
        <v>#VALUE!</v>
      </c>
      <c r="CV5" t="e">
        <f>AND('Voda,Ogrevanje'!F10,"AAAAAHUs72M=")</f>
        <v>#VALUE!</v>
      </c>
      <c r="CW5">
        <f>IF('Voda,Ogrevanje'!11:11,"AAAAAHUs72Q=",0)</f>
        <v>0</v>
      </c>
      <c r="CX5" t="e">
        <f>AND('Voda,Ogrevanje'!A11,"AAAAAHUs72U=")</f>
        <v>#VALUE!</v>
      </c>
      <c r="CY5" t="e">
        <f>AND('Voda,Ogrevanje'!B11,"AAAAAHUs72Y=")</f>
        <v>#VALUE!</v>
      </c>
      <c r="CZ5" t="e">
        <f>AND('Voda,Ogrevanje'!C11,"AAAAAHUs72c=")</f>
        <v>#VALUE!</v>
      </c>
      <c r="DA5" t="e">
        <f>AND('Voda,Ogrevanje'!D11,"AAAAAHUs72g=")</f>
        <v>#VALUE!</v>
      </c>
      <c r="DB5" t="e">
        <f>AND('Voda,Ogrevanje'!E11,"AAAAAHUs72k=")</f>
        <v>#VALUE!</v>
      </c>
      <c r="DC5" t="e">
        <f>AND('Voda,Ogrevanje'!F11,"AAAAAHUs72o=")</f>
        <v>#VALUE!</v>
      </c>
      <c r="DD5">
        <f>IF('Voda,Ogrevanje'!12:12,"AAAAAHUs72s=",0)</f>
        <v>0</v>
      </c>
      <c r="DE5" t="e">
        <f>AND('Voda,Ogrevanje'!A12,"AAAAAHUs72w=")</f>
        <v>#VALUE!</v>
      </c>
      <c r="DF5" t="e">
        <f>AND('Voda,Ogrevanje'!B12,"AAAAAHUs720=")</f>
        <v>#VALUE!</v>
      </c>
      <c r="DG5" t="e">
        <f>AND('Voda,Ogrevanje'!C12,"AAAAAHUs724=")</f>
        <v>#VALUE!</v>
      </c>
      <c r="DH5" t="e">
        <f>AND('Voda,Ogrevanje'!D12,"AAAAAHUs728=")</f>
        <v>#VALUE!</v>
      </c>
      <c r="DI5" t="e">
        <f>AND('Voda,Ogrevanje'!E12,"AAAAAHUs73A=")</f>
        <v>#VALUE!</v>
      </c>
      <c r="DJ5" t="e">
        <f>AND('Voda,Ogrevanje'!F12,"AAAAAHUs73E=")</f>
        <v>#VALUE!</v>
      </c>
      <c r="DK5">
        <f>IF('Voda,Ogrevanje'!13:13,"AAAAAHUs73I=",0)</f>
        <v>0</v>
      </c>
      <c r="DL5" t="e">
        <f>AND('Voda,Ogrevanje'!A13,"AAAAAHUs73M=")</f>
        <v>#VALUE!</v>
      </c>
      <c r="DM5" t="e">
        <f>AND('Voda,Ogrevanje'!B13,"AAAAAHUs73Q=")</f>
        <v>#VALUE!</v>
      </c>
      <c r="DN5" t="e">
        <f>AND('Voda,Ogrevanje'!C13,"AAAAAHUs73U=")</f>
        <v>#VALUE!</v>
      </c>
      <c r="DO5" t="e">
        <f>AND('Voda,Ogrevanje'!D13,"AAAAAHUs73Y=")</f>
        <v>#VALUE!</v>
      </c>
      <c r="DP5" t="e">
        <f>AND('Voda,Ogrevanje'!E13,"AAAAAHUs73c=")</f>
        <v>#VALUE!</v>
      </c>
      <c r="DQ5" t="e">
        <f>AND('Voda,Ogrevanje'!F13,"AAAAAHUs73g=")</f>
        <v>#VALUE!</v>
      </c>
      <c r="DR5">
        <f>IF('Voda,Ogrevanje'!14:14,"AAAAAHUs73k=",0)</f>
        <v>0</v>
      </c>
      <c r="DS5" t="e">
        <f>AND('Voda,Ogrevanje'!A14,"AAAAAHUs73o=")</f>
        <v>#VALUE!</v>
      </c>
      <c r="DT5" t="e">
        <f>AND('Voda,Ogrevanje'!B14,"AAAAAHUs73s=")</f>
        <v>#VALUE!</v>
      </c>
      <c r="DU5" t="e">
        <f>AND('Voda,Ogrevanje'!C14,"AAAAAHUs73w=")</f>
        <v>#VALUE!</v>
      </c>
      <c r="DV5" t="e">
        <f>AND('Voda,Ogrevanje'!D14,"AAAAAHUs730=")</f>
        <v>#VALUE!</v>
      </c>
      <c r="DW5" t="e">
        <f>AND('Voda,Ogrevanje'!E14,"AAAAAHUs734=")</f>
        <v>#VALUE!</v>
      </c>
      <c r="DX5" t="e">
        <f>AND('Voda,Ogrevanje'!F14,"AAAAAHUs738=")</f>
        <v>#VALUE!</v>
      </c>
      <c r="DY5">
        <f>IF('Voda,Ogrevanje'!15:15,"AAAAAHUs74A=",0)</f>
        <v>0</v>
      </c>
      <c r="DZ5" t="e">
        <f>AND('Voda,Ogrevanje'!A15,"AAAAAHUs74E=")</f>
        <v>#VALUE!</v>
      </c>
      <c r="EA5" t="e">
        <f>AND('Voda,Ogrevanje'!B15,"AAAAAHUs74I=")</f>
        <v>#VALUE!</v>
      </c>
      <c r="EB5" t="e">
        <f>AND('Voda,Ogrevanje'!C15,"AAAAAHUs74M=")</f>
        <v>#VALUE!</v>
      </c>
      <c r="EC5" t="e">
        <f>AND('Voda,Ogrevanje'!D15,"AAAAAHUs74Q=")</f>
        <v>#VALUE!</v>
      </c>
      <c r="ED5" t="e">
        <f>AND('Voda,Ogrevanje'!E15,"AAAAAHUs74U=")</f>
        <v>#VALUE!</v>
      </c>
      <c r="EE5" t="e">
        <f>AND('Voda,Ogrevanje'!F15,"AAAAAHUs74Y=")</f>
        <v>#VALUE!</v>
      </c>
      <c r="EF5">
        <f>IF('Voda,Ogrevanje'!16:16,"AAAAAHUs74c=",0)</f>
        <v>0</v>
      </c>
      <c r="EG5" t="e">
        <f>AND('Voda,Ogrevanje'!A16,"AAAAAHUs74g=")</f>
        <v>#VALUE!</v>
      </c>
      <c r="EH5" t="e">
        <f>AND('Voda,Ogrevanje'!B16,"AAAAAHUs74k=")</f>
        <v>#VALUE!</v>
      </c>
      <c r="EI5" t="e">
        <f>AND('Voda,Ogrevanje'!C16,"AAAAAHUs74o=")</f>
        <v>#VALUE!</v>
      </c>
      <c r="EJ5" t="e">
        <f>AND('Voda,Ogrevanje'!D16,"AAAAAHUs74s=")</f>
        <v>#VALUE!</v>
      </c>
      <c r="EK5" t="e">
        <f>AND('Voda,Ogrevanje'!E16,"AAAAAHUs74w=")</f>
        <v>#VALUE!</v>
      </c>
      <c r="EL5" t="e">
        <f>AND('Voda,Ogrevanje'!F16,"AAAAAHUs740=")</f>
        <v>#VALUE!</v>
      </c>
      <c r="EM5">
        <f>IF('Voda,Ogrevanje'!17:17,"AAAAAHUs744=",0)</f>
        <v>0</v>
      </c>
      <c r="EN5" t="e">
        <f>AND('Voda,Ogrevanje'!A17,"AAAAAHUs748=")</f>
        <v>#VALUE!</v>
      </c>
      <c r="EO5" t="e">
        <f>AND('Voda,Ogrevanje'!B17,"AAAAAHUs75A=")</f>
        <v>#VALUE!</v>
      </c>
      <c r="EP5" t="e">
        <f>AND('Voda,Ogrevanje'!C17,"AAAAAHUs75E=")</f>
        <v>#VALUE!</v>
      </c>
      <c r="EQ5" t="e">
        <f>AND('Voda,Ogrevanje'!D17,"AAAAAHUs75I=")</f>
        <v>#VALUE!</v>
      </c>
      <c r="ER5" t="e">
        <f>AND('Voda,Ogrevanje'!E17,"AAAAAHUs75M=")</f>
        <v>#VALUE!</v>
      </c>
      <c r="ES5" t="e">
        <f>AND('Voda,Ogrevanje'!F17,"AAAAAHUs75Q=")</f>
        <v>#VALUE!</v>
      </c>
      <c r="ET5">
        <f>IF('Voda,Ogrevanje'!18:18,"AAAAAHUs75U=",0)</f>
        <v>0</v>
      </c>
      <c r="EU5" t="e">
        <f>AND('Voda,Ogrevanje'!A18,"AAAAAHUs75Y=")</f>
        <v>#VALUE!</v>
      </c>
      <c r="EV5" t="e">
        <f>AND('Voda,Ogrevanje'!B18,"AAAAAHUs75c=")</f>
        <v>#VALUE!</v>
      </c>
      <c r="EW5" t="e">
        <f>AND('Voda,Ogrevanje'!C18,"AAAAAHUs75g=")</f>
        <v>#VALUE!</v>
      </c>
      <c r="EX5" t="e">
        <f>AND('Voda,Ogrevanje'!D18,"AAAAAHUs75k=")</f>
        <v>#VALUE!</v>
      </c>
      <c r="EY5" t="e">
        <f>AND('Voda,Ogrevanje'!E18,"AAAAAHUs75o=")</f>
        <v>#VALUE!</v>
      </c>
      <c r="EZ5" t="e">
        <f>AND('Voda,Ogrevanje'!F18,"AAAAAHUs75s=")</f>
        <v>#VALUE!</v>
      </c>
      <c r="FA5">
        <f>IF('Voda,Ogrevanje'!19:19,"AAAAAHUs75w=",0)</f>
        <v>0</v>
      </c>
      <c r="FB5" t="e">
        <f>AND('Voda,Ogrevanje'!A19,"AAAAAHUs750=")</f>
        <v>#VALUE!</v>
      </c>
      <c r="FC5" t="e">
        <f>AND('Voda,Ogrevanje'!B19,"AAAAAHUs754=")</f>
        <v>#VALUE!</v>
      </c>
      <c r="FD5" t="e">
        <f>AND('Voda,Ogrevanje'!C19,"AAAAAHUs758=")</f>
        <v>#VALUE!</v>
      </c>
      <c r="FE5" t="e">
        <f>AND('Voda,Ogrevanje'!D19,"AAAAAHUs76A=")</f>
        <v>#VALUE!</v>
      </c>
      <c r="FF5" t="e">
        <f>AND('Voda,Ogrevanje'!E19,"AAAAAHUs76E=")</f>
        <v>#VALUE!</v>
      </c>
      <c r="FG5" t="e">
        <f>AND('Voda,Ogrevanje'!F19,"AAAAAHUs76I=")</f>
        <v>#VALUE!</v>
      </c>
      <c r="FH5">
        <f>IF('Voda,Ogrevanje'!20:20,"AAAAAHUs76M=",0)</f>
        <v>0</v>
      </c>
      <c r="FI5" t="e">
        <f>AND('Voda,Ogrevanje'!A20,"AAAAAHUs76Q=")</f>
        <v>#VALUE!</v>
      </c>
      <c r="FJ5" t="e">
        <f>AND('Voda,Ogrevanje'!B20,"AAAAAHUs76U=")</f>
        <v>#VALUE!</v>
      </c>
      <c r="FK5" t="e">
        <f>AND('Voda,Ogrevanje'!C20,"AAAAAHUs76Y=")</f>
        <v>#VALUE!</v>
      </c>
      <c r="FL5" t="e">
        <f>AND('Voda,Ogrevanje'!D20,"AAAAAHUs76c=")</f>
        <v>#VALUE!</v>
      </c>
      <c r="FM5" t="e">
        <f>AND('Voda,Ogrevanje'!E20,"AAAAAHUs76g=")</f>
        <v>#VALUE!</v>
      </c>
      <c r="FN5" t="e">
        <f>AND('Voda,Ogrevanje'!F20,"AAAAAHUs76k=")</f>
        <v>#VALUE!</v>
      </c>
      <c r="FO5">
        <f>IF('Voda,Ogrevanje'!21:21,"AAAAAHUs76o=",0)</f>
        <v>0</v>
      </c>
      <c r="FP5" t="e">
        <f>AND('Voda,Ogrevanje'!A21,"AAAAAHUs76s=")</f>
        <v>#VALUE!</v>
      </c>
      <c r="FQ5" t="e">
        <f>AND('Voda,Ogrevanje'!B21,"AAAAAHUs76w=")</f>
        <v>#VALUE!</v>
      </c>
      <c r="FR5" t="e">
        <f>AND('Voda,Ogrevanje'!C21,"AAAAAHUs760=")</f>
        <v>#VALUE!</v>
      </c>
      <c r="FS5" t="e">
        <f>AND('Voda,Ogrevanje'!D21,"AAAAAHUs764=")</f>
        <v>#VALUE!</v>
      </c>
      <c r="FT5" t="e">
        <f>AND('Voda,Ogrevanje'!E21,"AAAAAHUs768=")</f>
        <v>#VALUE!</v>
      </c>
      <c r="FU5" t="e">
        <f>AND('Voda,Ogrevanje'!F21,"AAAAAHUs77A=")</f>
        <v>#VALUE!</v>
      </c>
      <c r="FV5">
        <f>IF('Voda,Ogrevanje'!22:22,"AAAAAHUs77E=",0)</f>
        <v>0</v>
      </c>
      <c r="FW5" t="e">
        <f>AND('Voda,Ogrevanje'!A22,"AAAAAHUs77I=")</f>
        <v>#VALUE!</v>
      </c>
      <c r="FX5" t="e">
        <f>AND('Voda,Ogrevanje'!B22,"AAAAAHUs77M=")</f>
        <v>#VALUE!</v>
      </c>
      <c r="FY5" t="e">
        <f>AND('Voda,Ogrevanje'!C22,"AAAAAHUs77Q=")</f>
        <v>#VALUE!</v>
      </c>
      <c r="FZ5" t="e">
        <f>AND('Voda,Ogrevanje'!D22,"AAAAAHUs77U=")</f>
        <v>#VALUE!</v>
      </c>
      <c r="GA5" t="e">
        <f>AND('Voda,Ogrevanje'!E22,"AAAAAHUs77Y=")</f>
        <v>#VALUE!</v>
      </c>
      <c r="GB5" t="e">
        <f>AND('Voda,Ogrevanje'!F22,"AAAAAHUs77c=")</f>
        <v>#VALUE!</v>
      </c>
      <c r="GC5">
        <f>IF('Voda,Ogrevanje'!23:23,"AAAAAHUs77g=",0)</f>
        <v>0</v>
      </c>
      <c r="GD5" t="e">
        <f>AND('Voda,Ogrevanje'!A23,"AAAAAHUs77k=")</f>
        <v>#VALUE!</v>
      </c>
      <c r="GE5" t="e">
        <f>AND('Voda,Ogrevanje'!B23,"AAAAAHUs77o=")</f>
        <v>#VALUE!</v>
      </c>
      <c r="GF5" t="e">
        <f>AND('Voda,Ogrevanje'!C23,"AAAAAHUs77s=")</f>
        <v>#VALUE!</v>
      </c>
      <c r="GG5" t="e">
        <f>AND('Voda,Ogrevanje'!D23,"AAAAAHUs77w=")</f>
        <v>#VALUE!</v>
      </c>
      <c r="GH5" t="e">
        <f>AND('Voda,Ogrevanje'!E23,"AAAAAHUs770=")</f>
        <v>#VALUE!</v>
      </c>
      <c r="GI5" t="e">
        <f>AND('Voda,Ogrevanje'!F23,"AAAAAHUs774=")</f>
        <v>#VALUE!</v>
      </c>
      <c r="GJ5">
        <f>IF('Voda,Ogrevanje'!24:24,"AAAAAHUs778=",0)</f>
        <v>0</v>
      </c>
      <c r="GK5" t="e">
        <f>AND('Voda,Ogrevanje'!A24,"AAAAAHUs78A=")</f>
        <v>#VALUE!</v>
      </c>
      <c r="GL5" t="e">
        <f>AND('Voda,Ogrevanje'!B24,"AAAAAHUs78E=")</f>
        <v>#VALUE!</v>
      </c>
      <c r="GM5" t="e">
        <f>AND('Voda,Ogrevanje'!C24,"AAAAAHUs78I=")</f>
        <v>#VALUE!</v>
      </c>
      <c r="GN5" t="e">
        <f>AND('Voda,Ogrevanje'!D24,"AAAAAHUs78M=")</f>
        <v>#VALUE!</v>
      </c>
      <c r="GO5" t="e">
        <f>AND('Voda,Ogrevanje'!E24,"AAAAAHUs78Q=")</f>
        <v>#VALUE!</v>
      </c>
      <c r="GP5" t="e">
        <f>AND('Voda,Ogrevanje'!F24,"AAAAAHUs78U=")</f>
        <v>#VALUE!</v>
      </c>
      <c r="GQ5">
        <f>IF('Voda,Ogrevanje'!25:25,"AAAAAHUs78Y=",0)</f>
        <v>0</v>
      </c>
      <c r="GR5" t="e">
        <f>AND('Voda,Ogrevanje'!A25,"AAAAAHUs78c=")</f>
        <v>#VALUE!</v>
      </c>
      <c r="GS5" t="e">
        <f>AND('Voda,Ogrevanje'!B25,"AAAAAHUs78g=")</f>
        <v>#VALUE!</v>
      </c>
      <c r="GT5" t="e">
        <f>AND('Voda,Ogrevanje'!C25,"AAAAAHUs78k=")</f>
        <v>#VALUE!</v>
      </c>
      <c r="GU5" t="e">
        <f>AND('Voda,Ogrevanje'!D25,"AAAAAHUs78o=")</f>
        <v>#VALUE!</v>
      </c>
      <c r="GV5" t="e">
        <f>AND('Voda,Ogrevanje'!E25,"AAAAAHUs78s=")</f>
        <v>#VALUE!</v>
      </c>
      <c r="GW5" t="e">
        <f>AND('Voda,Ogrevanje'!F25,"AAAAAHUs78w=")</f>
        <v>#VALUE!</v>
      </c>
      <c r="GX5">
        <f>IF('Voda,Ogrevanje'!26:26,"AAAAAHUs780=",0)</f>
        <v>0</v>
      </c>
      <c r="GY5" t="e">
        <f>AND('Voda,Ogrevanje'!A26,"AAAAAHUs784=")</f>
        <v>#VALUE!</v>
      </c>
      <c r="GZ5" t="e">
        <f>AND('Voda,Ogrevanje'!B26,"AAAAAHUs788=")</f>
        <v>#VALUE!</v>
      </c>
      <c r="HA5" t="e">
        <f>AND('Voda,Ogrevanje'!C26,"AAAAAHUs79A=")</f>
        <v>#VALUE!</v>
      </c>
      <c r="HB5" t="e">
        <f>AND('Voda,Ogrevanje'!D26,"AAAAAHUs79E=")</f>
        <v>#VALUE!</v>
      </c>
      <c r="HC5" t="e">
        <f>AND('Voda,Ogrevanje'!E26,"AAAAAHUs79I=")</f>
        <v>#VALUE!</v>
      </c>
      <c r="HD5" t="e">
        <f>AND('Voda,Ogrevanje'!F26,"AAAAAHUs79M=")</f>
        <v>#VALUE!</v>
      </c>
      <c r="HE5">
        <f>IF('Voda,Ogrevanje'!27:27,"AAAAAHUs79Q=",0)</f>
        <v>0</v>
      </c>
      <c r="HF5" t="e">
        <f>AND('Voda,Ogrevanje'!A27,"AAAAAHUs79U=")</f>
        <v>#VALUE!</v>
      </c>
      <c r="HG5" t="e">
        <f>AND('Voda,Ogrevanje'!B27,"AAAAAHUs79Y=")</f>
        <v>#VALUE!</v>
      </c>
      <c r="HH5" t="e">
        <f>AND('Voda,Ogrevanje'!C27,"AAAAAHUs79c=")</f>
        <v>#VALUE!</v>
      </c>
      <c r="HI5" t="e">
        <f>AND('Voda,Ogrevanje'!D27,"AAAAAHUs79g=")</f>
        <v>#VALUE!</v>
      </c>
      <c r="HJ5" t="e">
        <f>AND('Voda,Ogrevanje'!E27,"AAAAAHUs79k=")</f>
        <v>#VALUE!</v>
      </c>
      <c r="HK5" t="e">
        <f>AND('Voda,Ogrevanje'!F27,"AAAAAHUs79o=")</f>
        <v>#VALUE!</v>
      </c>
      <c r="HL5">
        <f>IF('Voda,Ogrevanje'!28:28,"AAAAAHUs79s=",0)</f>
        <v>0</v>
      </c>
      <c r="HM5" t="e">
        <f>AND('Voda,Ogrevanje'!A28,"AAAAAHUs79w=")</f>
        <v>#VALUE!</v>
      </c>
      <c r="HN5" t="e">
        <f>AND('Voda,Ogrevanje'!B28,"AAAAAHUs790=")</f>
        <v>#VALUE!</v>
      </c>
      <c r="HO5" t="e">
        <f>AND('Voda,Ogrevanje'!C28,"AAAAAHUs794=")</f>
        <v>#VALUE!</v>
      </c>
      <c r="HP5" t="e">
        <f>AND('Voda,Ogrevanje'!D28,"AAAAAHUs798=")</f>
        <v>#VALUE!</v>
      </c>
      <c r="HQ5" t="e">
        <f>AND('Voda,Ogrevanje'!E28,"AAAAAHUs7+A=")</f>
        <v>#VALUE!</v>
      </c>
      <c r="HR5" t="e">
        <f>AND('Voda,Ogrevanje'!F28,"AAAAAHUs7+E=")</f>
        <v>#VALUE!</v>
      </c>
      <c r="HS5">
        <f>IF('Voda,Ogrevanje'!29:29,"AAAAAHUs7+I=",0)</f>
        <v>0</v>
      </c>
      <c r="HT5" t="e">
        <f>AND('Voda,Ogrevanje'!A29,"AAAAAHUs7+M=")</f>
        <v>#VALUE!</v>
      </c>
      <c r="HU5" t="e">
        <f>AND('Voda,Ogrevanje'!B29,"AAAAAHUs7+Q=")</f>
        <v>#VALUE!</v>
      </c>
      <c r="HV5" t="e">
        <f>AND('Voda,Ogrevanje'!C29,"AAAAAHUs7+U=")</f>
        <v>#VALUE!</v>
      </c>
      <c r="HW5" t="e">
        <f>AND('Voda,Ogrevanje'!D29,"AAAAAHUs7+Y=")</f>
        <v>#VALUE!</v>
      </c>
      <c r="HX5" t="e">
        <f>AND('Voda,Ogrevanje'!E29,"AAAAAHUs7+c=")</f>
        <v>#VALUE!</v>
      </c>
      <c r="HY5" t="e">
        <f>AND('Voda,Ogrevanje'!F29,"AAAAAHUs7+g=")</f>
        <v>#VALUE!</v>
      </c>
      <c r="HZ5">
        <f>IF('Voda,Ogrevanje'!30:30,"AAAAAHUs7+k=",0)</f>
        <v>0</v>
      </c>
      <c r="IA5" t="e">
        <f>AND('Voda,Ogrevanje'!A30,"AAAAAHUs7+o=")</f>
        <v>#VALUE!</v>
      </c>
      <c r="IB5" t="e">
        <f>AND('Voda,Ogrevanje'!B30,"AAAAAHUs7+s=")</f>
        <v>#VALUE!</v>
      </c>
      <c r="IC5" t="e">
        <f>AND('Voda,Ogrevanje'!C30,"AAAAAHUs7+w=")</f>
        <v>#VALUE!</v>
      </c>
      <c r="ID5" t="e">
        <f>AND('Voda,Ogrevanje'!D30,"AAAAAHUs7+0=")</f>
        <v>#VALUE!</v>
      </c>
      <c r="IE5" t="e">
        <f>AND('Voda,Ogrevanje'!E30,"AAAAAHUs7+4=")</f>
        <v>#VALUE!</v>
      </c>
      <c r="IF5" t="e">
        <f>AND('Voda,Ogrevanje'!F30,"AAAAAHUs7+8=")</f>
        <v>#VALUE!</v>
      </c>
      <c r="IG5">
        <f>IF('Voda,Ogrevanje'!31:31,"AAAAAHUs7/A=",0)</f>
        <v>0</v>
      </c>
      <c r="IH5" t="e">
        <f>AND('Voda,Ogrevanje'!A31,"AAAAAHUs7/E=")</f>
        <v>#VALUE!</v>
      </c>
      <c r="II5" t="e">
        <f>AND('Voda,Ogrevanje'!B31,"AAAAAHUs7/I=")</f>
        <v>#VALUE!</v>
      </c>
      <c r="IJ5" t="e">
        <f>AND('Voda,Ogrevanje'!C31,"AAAAAHUs7/M=")</f>
        <v>#VALUE!</v>
      </c>
      <c r="IK5" t="e">
        <f>AND('Voda,Ogrevanje'!D31,"AAAAAHUs7/Q=")</f>
        <v>#VALUE!</v>
      </c>
      <c r="IL5" t="e">
        <f>AND('Voda,Ogrevanje'!E31,"AAAAAHUs7/U=")</f>
        <v>#VALUE!</v>
      </c>
      <c r="IM5" t="e">
        <f>AND('Voda,Ogrevanje'!F31,"AAAAAHUs7/Y=")</f>
        <v>#VALUE!</v>
      </c>
      <c r="IN5">
        <f>IF('Voda,Ogrevanje'!32:32,"AAAAAHUs7/c=",0)</f>
        <v>0</v>
      </c>
      <c r="IO5" t="e">
        <f>AND('Voda,Ogrevanje'!A32,"AAAAAHUs7/g=")</f>
        <v>#VALUE!</v>
      </c>
      <c r="IP5" t="e">
        <f>AND('Voda,Ogrevanje'!B32,"AAAAAHUs7/k=")</f>
        <v>#VALUE!</v>
      </c>
      <c r="IQ5" t="e">
        <f>AND('Voda,Ogrevanje'!C32,"AAAAAHUs7/o=")</f>
        <v>#VALUE!</v>
      </c>
      <c r="IR5" t="e">
        <f>AND('Voda,Ogrevanje'!D32,"AAAAAHUs7/s=")</f>
        <v>#VALUE!</v>
      </c>
      <c r="IS5" t="e">
        <f>AND('Voda,Ogrevanje'!E32,"AAAAAHUs7/w=")</f>
        <v>#VALUE!</v>
      </c>
      <c r="IT5" t="e">
        <f>AND('Voda,Ogrevanje'!F32,"AAAAAHUs7/0=")</f>
        <v>#VALUE!</v>
      </c>
      <c r="IU5">
        <f>IF('Voda,Ogrevanje'!33:33,"AAAAAHUs7/4=",0)</f>
        <v>0</v>
      </c>
      <c r="IV5" t="e">
        <f>AND('Voda,Ogrevanje'!A33,"AAAAAHUs7/8=")</f>
        <v>#VALUE!</v>
      </c>
    </row>
    <row r="6" spans="1:256" ht="12.75">
      <c r="A6" t="e">
        <f>AND('Voda,Ogrevanje'!B33,"AAAAAC9/OwA=")</f>
        <v>#VALUE!</v>
      </c>
      <c r="B6" t="e">
        <f>AND('Voda,Ogrevanje'!C33,"AAAAAC9/OwE=")</f>
        <v>#VALUE!</v>
      </c>
      <c r="C6" t="e">
        <f>AND('Voda,Ogrevanje'!D33,"AAAAAC9/OwI=")</f>
        <v>#VALUE!</v>
      </c>
      <c r="D6" t="e">
        <f>AND('Voda,Ogrevanje'!E33,"AAAAAC9/OwM=")</f>
        <v>#VALUE!</v>
      </c>
      <c r="E6" t="e">
        <f>AND('Voda,Ogrevanje'!F33,"AAAAAC9/OwQ=")</f>
        <v>#VALUE!</v>
      </c>
      <c r="F6">
        <f>IF('Voda,Ogrevanje'!34:34,"AAAAAC9/OwU=",0)</f>
        <v>0</v>
      </c>
      <c r="G6" t="e">
        <f>AND('Voda,Ogrevanje'!A34,"AAAAAC9/OwY=")</f>
        <v>#VALUE!</v>
      </c>
      <c r="H6" t="e">
        <f>AND('Voda,Ogrevanje'!B34,"AAAAAC9/Owc=")</f>
        <v>#VALUE!</v>
      </c>
      <c r="I6" t="e">
        <f>AND('Voda,Ogrevanje'!C34,"AAAAAC9/Owg=")</f>
        <v>#VALUE!</v>
      </c>
      <c r="J6" t="e">
        <f>AND('Voda,Ogrevanje'!D34,"AAAAAC9/Owk=")</f>
        <v>#VALUE!</v>
      </c>
      <c r="K6" t="e">
        <f>AND('Voda,Ogrevanje'!E34,"AAAAAC9/Owo=")</f>
        <v>#VALUE!</v>
      </c>
      <c r="L6" t="e">
        <f>AND('Voda,Ogrevanje'!F34,"AAAAAC9/Ows=")</f>
        <v>#VALUE!</v>
      </c>
      <c r="M6">
        <f>IF('Voda,Ogrevanje'!35:35,"AAAAAC9/Oww=",0)</f>
        <v>0</v>
      </c>
      <c r="N6" t="e">
        <f>AND('Voda,Ogrevanje'!A35,"AAAAAC9/Ow0=")</f>
        <v>#VALUE!</v>
      </c>
      <c r="O6" t="e">
        <f>AND('Voda,Ogrevanje'!B35,"AAAAAC9/Ow4=")</f>
        <v>#VALUE!</v>
      </c>
      <c r="P6" t="e">
        <f>AND('Voda,Ogrevanje'!C35,"AAAAAC9/Ow8=")</f>
        <v>#VALUE!</v>
      </c>
      <c r="Q6" t="e">
        <f>AND('Voda,Ogrevanje'!D35,"AAAAAC9/OxA=")</f>
        <v>#VALUE!</v>
      </c>
      <c r="R6" t="e">
        <f>AND('Voda,Ogrevanje'!E35,"AAAAAC9/OxE=")</f>
        <v>#VALUE!</v>
      </c>
      <c r="S6" t="e">
        <f>AND('Voda,Ogrevanje'!F35,"AAAAAC9/OxI=")</f>
        <v>#VALUE!</v>
      </c>
      <c r="T6">
        <f>IF('Voda,Ogrevanje'!36:36,"AAAAAC9/OxM=",0)</f>
        <v>0</v>
      </c>
      <c r="U6" t="e">
        <f>AND('Voda,Ogrevanje'!A36,"AAAAAC9/OxQ=")</f>
        <v>#VALUE!</v>
      </c>
      <c r="V6" t="e">
        <f>AND('Voda,Ogrevanje'!B36,"AAAAAC9/OxU=")</f>
        <v>#VALUE!</v>
      </c>
      <c r="W6" t="e">
        <f>AND('Voda,Ogrevanje'!C36,"AAAAAC9/OxY=")</f>
        <v>#VALUE!</v>
      </c>
      <c r="X6" t="e">
        <f>AND('Voda,Ogrevanje'!D36,"AAAAAC9/Oxc=")</f>
        <v>#VALUE!</v>
      </c>
      <c r="Y6" t="e">
        <f>AND('Voda,Ogrevanje'!E36,"AAAAAC9/Oxg=")</f>
        <v>#VALUE!</v>
      </c>
      <c r="Z6" t="e">
        <f>AND('Voda,Ogrevanje'!F36,"AAAAAC9/Oxk=")</f>
        <v>#VALUE!</v>
      </c>
      <c r="AA6">
        <f>IF('Voda,Ogrevanje'!37:37,"AAAAAC9/Oxo=",0)</f>
        <v>0</v>
      </c>
      <c r="AB6" t="e">
        <f>AND('Voda,Ogrevanje'!A37,"AAAAAC9/Oxs=")</f>
        <v>#VALUE!</v>
      </c>
      <c r="AC6" t="e">
        <f>AND('Voda,Ogrevanje'!B37,"AAAAAC9/Oxw=")</f>
        <v>#VALUE!</v>
      </c>
      <c r="AD6" t="e">
        <f>AND('Voda,Ogrevanje'!C37,"AAAAAC9/Ox0=")</f>
        <v>#VALUE!</v>
      </c>
      <c r="AE6" t="e">
        <f>AND('Voda,Ogrevanje'!D37,"AAAAAC9/Ox4=")</f>
        <v>#VALUE!</v>
      </c>
      <c r="AF6" t="e">
        <f>AND('Voda,Ogrevanje'!E37,"AAAAAC9/Ox8=")</f>
        <v>#VALUE!</v>
      </c>
      <c r="AG6" t="e">
        <f>AND('Voda,Ogrevanje'!F37,"AAAAAC9/OyA=")</f>
        <v>#VALUE!</v>
      </c>
      <c r="AH6">
        <f>IF('Voda,Ogrevanje'!38:38,"AAAAAC9/OyE=",0)</f>
        <v>0</v>
      </c>
      <c r="AI6" t="e">
        <f>AND('Voda,Ogrevanje'!A38,"AAAAAC9/OyI=")</f>
        <v>#VALUE!</v>
      </c>
      <c r="AJ6" t="e">
        <f>AND('Voda,Ogrevanje'!B38,"AAAAAC9/OyM=")</f>
        <v>#VALUE!</v>
      </c>
      <c r="AK6" t="e">
        <f>AND('Voda,Ogrevanje'!C38,"AAAAAC9/OyQ=")</f>
        <v>#VALUE!</v>
      </c>
      <c r="AL6" t="e">
        <f>AND('Voda,Ogrevanje'!D38,"AAAAAC9/OyU=")</f>
        <v>#VALUE!</v>
      </c>
      <c r="AM6" t="e">
        <f>AND('Voda,Ogrevanje'!E38,"AAAAAC9/OyY=")</f>
        <v>#VALUE!</v>
      </c>
      <c r="AN6" t="e">
        <f>AND('Voda,Ogrevanje'!F38,"AAAAAC9/Oyc=")</f>
        <v>#VALUE!</v>
      </c>
      <c r="AO6">
        <f>IF('Voda,Ogrevanje'!39:39,"AAAAAC9/Oyg=",0)</f>
        <v>0</v>
      </c>
      <c r="AP6" t="e">
        <f>AND('Voda,Ogrevanje'!A39,"AAAAAC9/Oyk=")</f>
        <v>#VALUE!</v>
      </c>
      <c r="AQ6" t="e">
        <f>AND('Voda,Ogrevanje'!B39,"AAAAAC9/Oyo=")</f>
        <v>#VALUE!</v>
      </c>
      <c r="AR6" t="e">
        <f>AND('Voda,Ogrevanje'!C39,"AAAAAC9/Oys=")</f>
        <v>#VALUE!</v>
      </c>
      <c r="AS6" t="e">
        <f>AND('Voda,Ogrevanje'!D39,"AAAAAC9/Oyw=")</f>
        <v>#VALUE!</v>
      </c>
      <c r="AT6" t="e">
        <f>AND('Voda,Ogrevanje'!E39,"AAAAAC9/Oy0=")</f>
        <v>#VALUE!</v>
      </c>
      <c r="AU6" t="e">
        <f>AND('Voda,Ogrevanje'!F39,"AAAAAC9/Oy4=")</f>
        <v>#VALUE!</v>
      </c>
      <c r="AV6">
        <f>IF('Voda,Ogrevanje'!40:40,"AAAAAC9/Oy8=",0)</f>
        <v>0</v>
      </c>
      <c r="AW6" t="e">
        <f>AND('Voda,Ogrevanje'!A40,"AAAAAC9/OzA=")</f>
        <v>#VALUE!</v>
      </c>
      <c r="AX6" t="e">
        <f>AND('Voda,Ogrevanje'!B40,"AAAAAC9/OzE=")</f>
        <v>#VALUE!</v>
      </c>
      <c r="AY6" t="e">
        <f>AND('Voda,Ogrevanje'!C40,"AAAAAC9/OzI=")</f>
        <v>#VALUE!</v>
      </c>
      <c r="AZ6" t="e">
        <f>AND('Voda,Ogrevanje'!D40,"AAAAAC9/OzM=")</f>
        <v>#VALUE!</v>
      </c>
      <c r="BA6" t="e">
        <f>AND('Voda,Ogrevanje'!E40,"AAAAAC9/OzQ=")</f>
        <v>#VALUE!</v>
      </c>
      <c r="BB6" t="e">
        <f>AND('Voda,Ogrevanje'!F40,"AAAAAC9/OzU=")</f>
        <v>#VALUE!</v>
      </c>
      <c r="BC6">
        <f>IF('Voda,Ogrevanje'!41:41,"AAAAAC9/OzY=",0)</f>
        <v>0</v>
      </c>
      <c r="BD6" t="e">
        <f>AND('Voda,Ogrevanje'!A41,"AAAAAC9/Ozc=")</f>
        <v>#VALUE!</v>
      </c>
      <c r="BE6" t="e">
        <f>AND('Voda,Ogrevanje'!B41,"AAAAAC9/Ozg=")</f>
        <v>#VALUE!</v>
      </c>
      <c r="BF6" t="e">
        <f>AND('Voda,Ogrevanje'!C41,"AAAAAC9/Ozk=")</f>
        <v>#VALUE!</v>
      </c>
      <c r="BG6" t="e">
        <f>AND('Voda,Ogrevanje'!D41,"AAAAAC9/Ozo=")</f>
        <v>#VALUE!</v>
      </c>
      <c r="BH6" t="e">
        <f>AND('Voda,Ogrevanje'!E41,"AAAAAC9/Ozs=")</f>
        <v>#VALUE!</v>
      </c>
      <c r="BI6" t="e">
        <f>AND('Voda,Ogrevanje'!F41,"AAAAAC9/Ozw=")</f>
        <v>#VALUE!</v>
      </c>
      <c r="BJ6">
        <f>IF('Voda,Ogrevanje'!42:42,"AAAAAC9/Oz0=",0)</f>
        <v>0</v>
      </c>
      <c r="BK6" t="e">
        <f>AND('Voda,Ogrevanje'!A42,"AAAAAC9/Oz4=")</f>
        <v>#VALUE!</v>
      </c>
      <c r="BL6" t="e">
        <f>AND('Voda,Ogrevanje'!B42,"AAAAAC9/Oz8=")</f>
        <v>#VALUE!</v>
      </c>
      <c r="BM6" t="e">
        <f>AND('Voda,Ogrevanje'!C42,"AAAAAC9/O0A=")</f>
        <v>#VALUE!</v>
      </c>
      <c r="BN6" t="e">
        <f>AND('Voda,Ogrevanje'!D42,"AAAAAC9/O0E=")</f>
        <v>#VALUE!</v>
      </c>
      <c r="BO6" t="e">
        <f>AND('Voda,Ogrevanje'!E42,"AAAAAC9/O0I=")</f>
        <v>#VALUE!</v>
      </c>
      <c r="BP6" t="e">
        <f>AND('Voda,Ogrevanje'!F42,"AAAAAC9/O0M=")</f>
        <v>#VALUE!</v>
      </c>
      <c r="BQ6">
        <f>IF('Voda,Ogrevanje'!43:43,"AAAAAC9/O0Q=",0)</f>
        <v>0</v>
      </c>
      <c r="BR6" t="e">
        <f>AND('Voda,Ogrevanje'!A43,"AAAAAC9/O0U=")</f>
        <v>#VALUE!</v>
      </c>
      <c r="BS6" t="e">
        <f>AND('Voda,Ogrevanje'!B43,"AAAAAC9/O0Y=")</f>
        <v>#VALUE!</v>
      </c>
      <c r="BT6" t="e">
        <f>AND('Voda,Ogrevanje'!C43,"AAAAAC9/O0c=")</f>
        <v>#VALUE!</v>
      </c>
      <c r="BU6" t="e">
        <f>AND('Voda,Ogrevanje'!D43,"AAAAAC9/O0g=")</f>
        <v>#VALUE!</v>
      </c>
      <c r="BV6" t="e">
        <f>AND('Voda,Ogrevanje'!E43,"AAAAAC9/O0k=")</f>
        <v>#VALUE!</v>
      </c>
      <c r="BW6" t="e">
        <f>AND('Voda,Ogrevanje'!F43,"AAAAAC9/O0o=")</f>
        <v>#VALUE!</v>
      </c>
      <c r="BX6">
        <f>IF('Voda,Ogrevanje'!44:44,"AAAAAC9/O0s=",0)</f>
        <v>0</v>
      </c>
      <c r="BY6" t="e">
        <f>AND('Voda,Ogrevanje'!A44,"AAAAAC9/O0w=")</f>
        <v>#VALUE!</v>
      </c>
      <c r="BZ6" t="e">
        <f>AND('Voda,Ogrevanje'!B44,"AAAAAC9/O00=")</f>
        <v>#VALUE!</v>
      </c>
      <c r="CA6" t="e">
        <f>AND('Voda,Ogrevanje'!C44,"AAAAAC9/O04=")</f>
        <v>#VALUE!</v>
      </c>
      <c r="CB6" t="e">
        <f>AND('Voda,Ogrevanje'!D44,"AAAAAC9/O08=")</f>
        <v>#VALUE!</v>
      </c>
      <c r="CC6" t="e">
        <f>AND('Voda,Ogrevanje'!E44,"AAAAAC9/O1A=")</f>
        <v>#VALUE!</v>
      </c>
      <c r="CD6" t="e">
        <f>AND('Voda,Ogrevanje'!F44,"AAAAAC9/O1E=")</f>
        <v>#VALUE!</v>
      </c>
      <c r="CE6">
        <f>IF('Voda,Ogrevanje'!45:45,"AAAAAC9/O1I=",0)</f>
        <v>0</v>
      </c>
      <c r="CF6" t="e">
        <f>AND('Voda,Ogrevanje'!A45,"AAAAAC9/O1M=")</f>
        <v>#VALUE!</v>
      </c>
      <c r="CG6" t="e">
        <f>AND('Voda,Ogrevanje'!B45,"AAAAAC9/O1Q=")</f>
        <v>#VALUE!</v>
      </c>
      <c r="CH6" t="e">
        <f>AND('Voda,Ogrevanje'!C45,"AAAAAC9/O1U=")</f>
        <v>#VALUE!</v>
      </c>
      <c r="CI6" t="e">
        <f>AND('Voda,Ogrevanje'!D45,"AAAAAC9/O1Y=")</f>
        <v>#VALUE!</v>
      </c>
      <c r="CJ6" t="e">
        <f>AND('Voda,Ogrevanje'!E45,"AAAAAC9/O1c=")</f>
        <v>#VALUE!</v>
      </c>
      <c r="CK6" t="e">
        <f>AND('Voda,Ogrevanje'!F45,"AAAAAC9/O1g=")</f>
        <v>#VALUE!</v>
      </c>
      <c r="CL6">
        <f>IF('Voda,Ogrevanje'!46:46,"AAAAAC9/O1k=",0)</f>
        <v>0</v>
      </c>
      <c r="CM6" t="e">
        <f>AND('Voda,Ogrevanje'!A46,"AAAAAC9/O1o=")</f>
        <v>#VALUE!</v>
      </c>
      <c r="CN6" t="e">
        <f>AND('Voda,Ogrevanje'!B46,"AAAAAC9/O1s=")</f>
        <v>#VALUE!</v>
      </c>
      <c r="CO6" t="e">
        <f>AND('Voda,Ogrevanje'!C46,"AAAAAC9/O1w=")</f>
        <v>#VALUE!</v>
      </c>
      <c r="CP6" t="e">
        <f>AND('Voda,Ogrevanje'!D46,"AAAAAC9/O10=")</f>
        <v>#VALUE!</v>
      </c>
      <c r="CQ6" t="e">
        <f>AND('Voda,Ogrevanje'!E46,"AAAAAC9/O14=")</f>
        <v>#VALUE!</v>
      </c>
      <c r="CR6" t="e">
        <f>AND('Voda,Ogrevanje'!F46,"AAAAAC9/O18=")</f>
        <v>#VALUE!</v>
      </c>
      <c r="CS6">
        <f>IF('Voda,Ogrevanje'!47:47,"AAAAAC9/O2A=",0)</f>
        <v>0</v>
      </c>
      <c r="CT6" t="e">
        <f>AND('Voda,Ogrevanje'!A47,"AAAAAC9/O2E=")</f>
        <v>#VALUE!</v>
      </c>
      <c r="CU6" t="e">
        <f>AND('Voda,Ogrevanje'!B47,"AAAAAC9/O2I=")</f>
        <v>#VALUE!</v>
      </c>
      <c r="CV6" t="e">
        <f>AND('Voda,Ogrevanje'!C47,"AAAAAC9/O2M=")</f>
        <v>#VALUE!</v>
      </c>
      <c r="CW6" t="e">
        <f>AND('Voda,Ogrevanje'!D47,"AAAAAC9/O2Q=")</f>
        <v>#VALUE!</v>
      </c>
      <c r="CX6" t="e">
        <f>AND('Voda,Ogrevanje'!E47,"AAAAAC9/O2U=")</f>
        <v>#VALUE!</v>
      </c>
      <c r="CY6" t="e">
        <f>AND('Voda,Ogrevanje'!F47,"AAAAAC9/O2Y=")</f>
        <v>#VALUE!</v>
      </c>
      <c r="CZ6">
        <f>IF('Voda,Ogrevanje'!48:48,"AAAAAC9/O2c=",0)</f>
        <v>0</v>
      </c>
      <c r="DA6" t="e">
        <f>AND('Voda,Ogrevanje'!A48,"AAAAAC9/O2g=")</f>
        <v>#VALUE!</v>
      </c>
      <c r="DB6" t="e">
        <f>AND('Voda,Ogrevanje'!B48,"AAAAAC9/O2k=")</f>
        <v>#VALUE!</v>
      </c>
      <c r="DC6" t="e">
        <f>AND('Voda,Ogrevanje'!C48,"AAAAAC9/O2o=")</f>
        <v>#VALUE!</v>
      </c>
      <c r="DD6" t="e">
        <f>AND('Voda,Ogrevanje'!D48,"AAAAAC9/O2s=")</f>
        <v>#VALUE!</v>
      </c>
      <c r="DE6" t="e">
        <f>AND('Voda,Ogrevanje'!E48,"AAAAAC9/O2w=")</f>
        <v>#VALUE!</v>
      </c>
      <c r="DF6" t="e">
        <f>AND('Voda,Ogrevanje'!F48,"AAAAAC9/O20=")</f>
        <v>#VALUE!</v>
      </c>
      <c r="DG6">
        <f>IF('Voda,Ogrevanje'!49:49,"AAAAAC9/O24=",0)</f>
        <v>0</v>
      </c>
      <c r="DH6" t="e">
        <f>AND('Voda,Ogrevanje'!A49,"AAAAAC9/O28=")</f>
        <v>#VALUE!</v>
      </c>
      <c r="DI6" t="e">
        <f>AND('Voda,Ogrevanje'!B49,"AAAAAC9/O3A=")</f>
        <v>#VALUE!</v>
      </c>
      <c r="DJ6" t="e">
        <f>AND('Voda,Ogrevanje'!C49,"AAAAAC9/O3E=")</f>
        <v>#VALUE!</v>
      </c>
      <c r="DK6" t="e">
        <f>AND('Voda,Ogrevanje'!D49,"AAAAAC9/O3I=")</f>
        <v>#VALUE!</v>
      </c>
      <c r="DL6" t="e">
        <f>AND('Voda,Ogrevanje'!E49,"AAAAAC9/O3M=")</f>
        <v>#VALUE!</v>
      </c>
      <c r="DM6" t="e">
        <f>AND('Voda,Ogrevanje'!F49,"AAAAAC9/O3Q=")</f>
        <v>#VALUE!</v>
      </c>
      <c r="DN6">
        <f>IF('Voda,Ogrevanje'!50:50,"AAAAAC9/O3U=",0)</f>
        <v>0</v>
      </c>
      <c r="DO6" t="e">
        <f>AND('Voda,Ogrevanje'!A50,"AAAAAC9/O3Y=")</f>
        <v>#VALUE!</v>
      </c>
      <c r="DP6" t="e">
        <f>AND('Voda,Ogrevanje'!B50,"AAAAAC9/O3c=")</f>
        <v>#VALUE!</v>
      </c>
      <c r="DQ6" t="e">
        <f>AND('Voda,Ogrevanje'!C50,"AAAAAC9/O3g=")</f>
        <v>#VALUE!</v>
      </c>
      <c r="DR6" t="e">
        <f>AND('Voda,Ogrevanje'!D50,"AAAAAC9/O3k=")</f>
        <v>#VALUE!</v>
      </c>
      <c r="DS6" t="e">
        <f>AND('Voda,Ogrevanje'!E50,"AAAAAC9/O3o=")</f>
        <v>#VALUE!</v>
      </c>
      <c r="DT6" t="e">
        <f>AND('Voda,Ogrevanje'!F50,"AAAAAC9/O3s=")</f>
        <v>#VALUE!</v>
      </c>
      <c r="DU6">
        <f>IF('Voda,Ogrevanje'!51:51,"AAAAAC9/O3w=",0)</f>
        <v>0</v>
      </c>
      <c r="DV6" t="e">
        <f>AND('Voda,Ogrevanje'!A51,"AAAAAC9/O30=")</f>
        <v>#VALUE!</v>
      </c>
      <c r="DW6" t="e">
        <f>AND('Voda,Ogrevanje'!B51,"AAAAAC9/O34=")</f>
        <v>#VALUE!</v>
      </c>
      <c r="DX6" t="e">
        <f>AND('Voda,Ogrevanje'!C51,"AAAAAC9/O38=")</f>
        <v>#VALUE!</v>
      </c>
      <c r="DY6" t="e">
        <f>AND('Voda,Ogrevanje'!D51,"AAAAAC9/O4A=")</f>
        <v>#VALUE!</v>
      </c>
      <c r="DZ6" t="e">
        <f>AND('Voda,Ogrevanje'!E51,"AAAAAC9/O4E=")</f>
        <v>#VALUE!</v>
      </c>
      <c r="EA6" t="e">
        <f>AND('Voda,Ogrevanje'!F51,"AAAAAC9/O4I=")</f>
        <v>#VALUE!</v>
      </c>
      <c r="EB6">
        <f>IF('Voda,Ogrevanje'!52:52,"AAAAAC9/O4M=",0)</f>
        <v>0</v>
      </c>
      <c r="EC6" t="e">
        <f>AND('Voda,Ogrevanje'!A52,"AAAAAC9/O4Q=")</f>
        <v>#VALUE!</v>
      </c>
      <c r="ED6" t="e">
        <f>AND('Voda,Ogrevanje'!B52,"AAAAAC9/O4U=")</f>
        <v>#VALUE!</v>
      </c>
      <c r="EE6" t="e">
        <f>AND('Voda,Ogrevanje'!C52,"AAAAAC9/O4Y=")</f>
        <v>#VALUE!</v>
      </c>
      <c r="EF6" t="e">
        <f>AND('Voda,Ogrevanje'!D52,"AAAAAC9/O4c=")</f>
        <v>#VALUE!</v>
      </c>
      <c r="EG6" t="e">
        <f>AND('Voda,Ogrevanje'!E52,"AAAAAC9/O4g=")</f>
        <v>#VALUE!</v>
      </c>
      <c r="EH6" t="e">
        <f>AND('Voda,Ogrevanje'!F52,"AAAAAC9/O4k=")</f>
        <v>#VALUE!</v>
      </c>
      <c r="EI6">
        <f>IF('Voda,Ogrevanje'!53:53,"AAAAAC9/O4o=",0)</f>
        <v>0</v>
      </c>
      <c r="EJ6" t="e">
        <f>AND('Voda,Ogrevanje'!A53,"AAAAAC9/O4s=")</f>
        <v>#VALUE!</v>
      </c>
      <c r="EK6" t="e">
        <f>AND('Voda,Ogrevanje'!B53,"AAAAAC9/O4w=")</f>
        <v>#VALUE!</v>
      </c>
      <c r="EL6" t="e">
        <f>AND('Voda,Ogrevanje'!C53,"AAAAAC9/O40=")</f>
        <v>#VALUE!</v>
      </c>
      <c r="EM6" t="e">
        <f>AND('Voda,Ogrevanje'!D53,"AAAAAC9/O44=")</f>
        <v>#VALUE!</v>
      </c>
      <c r="EN6" t="e">
        <f>AND('Voda,Ogrevanje'!E53,"AAAAAC9/O48=")</f>
        <v>#VALUE!</v>
      </c>
      <c r="EO6" t="e">
        <f>AND('Voda,Ogrevanje'!F53,"AAAAAC9/O5A=")</f>
        <v>#VALUE!</v>
      </c>
      <c r="EP6" t="e">
        <f>IF('Voda,Ogrevanje'!#REF!,"AAAAAC9/O5E=",0)</f>
        <v>#REF!</v>
      </c>
      <c r="EQ6" t="e">
        <f>AND('Voda,Ogrevanje'!#REF!,"AAAAAC9/O5I=")</f>
        <v>#REF!</v>
      </c>
      <c r="ER6" t="e">
        <f>AND('Voda,Ogrevanje'!#REF!,"AAAAAC9/O5M=")</f>
        <v>#REF!</v>
      </c>
      <c r="ES6" t="e">
        <f>AND('Voda,Ogrevanje'!#REF!,"AAAAAC9/O5Q=")</f>
        <v>#REF!</v>
      </c>
      <c r="ET6" t="e">
        <f>AND('Voda,Ogrevanje'!#REF!,"AAAAAC9/O5U=")</f>
        <v>#REF!</v>
      </c>
      <c r="EU6" t="e">
        <f>AND('Voda,Ogrevanje'!#REF!,"AAAAAC9/O5Y=")</f>
        <v>#REF!</v>
      </c>
      <c r="EV6" t="e">
        <f>AND('Voda,Ogrevanje'!#REF!,"AAAAAC9/O5c=")</f>
        <v>#REF!</v>
      </c>
      <c r="EW6" t="e">
        <f>IF('Voda,Ogrevanje'!#REF!,"AAAAAC9/O5g=",0)</f>
        <v>#REF!</v>
      </c>
      <c r="EX6" t="e">
        <f>AND('Voda,Ogrevanje'!#REF!,"AAAAAC9/O5k=")</f>
        <v>#REF!</v>
      </c>
      <c r="EY6" t="e">
        <f>AND('Voda,Ogrevanje'!#REF!,"AAAAAC9/O5o=")</f>
        <v>#REF!</v>
      </c>
      <c r="EZ6" t="e">
        <f>AND('Voda,Ogrevanje'!#REF!,"AAAAAC9/O5s=")</f>
        <v>#REF!</v>
      </c>
      <c r="FA6" t="e">
        <f>AND('Voda,Ogrevanje'!#REF!,"AAAAAC9/O5w=")</f>
        <v>#REF!</v>
      </c>
      <c r="FB6" t="e">
        <f>AND('Voda,Ogrevanje'!#REF!,"AAAAAC9/O50=")</f>
        <v>#REF!</v>
      </c>
      <c r="FC6" t="e">
        <f>AND('Voda,Ogrevanje'!#REF!,"AAAAAC9/O54=")</f>
        <v>#REF!</v>
      </c>
      <c r="FD6" t="e">
        <f>IF('Voda,Ogrevanje'!#REF!,"AAAAAC9/O58=",0)</f>
        <v>#REF!</v>
      </c>
      <c r="FE6" t="e">
        <f>AND('Voda,Ogrevanje'!#REF!,"AAAAAC9/O6A=")</f>
        <v>#REF!</v>
      </c>
      <c r="FF6" t="e">
        <f>AND('Voda,Ogrevanje'!#REF!,"AAAAAC9/O6E=")</f>
        <v>#REF!</v>
      </c>
      <c r="FG6" t="e">
        <f>AND('Voda,Ogrevanje'!#REF!,"AAAAAC9/O6I=")</f>
        <v>#REF!</v>
      </c>
      <c r="FH6" t="e">
        <f>AND('Voda,Ogrevanje'!#REF!,"AAAAAC9/O6M=")</f>
        <v>#REF!</v>
      </c>
      <c r="FI6" t="e">
        <f>AND('Voda,Ogrevanje'!#REF!,"AAAAAC9/O6Q=")</f>
        <v>#REF!</v>
      </c>
      <c r="FJ6" t="e">
        <f>AND('Voda,Ogrevanje'!#REF!,"AAAAAC9/O6U=")</f>
        <v>#REF!</v>
      </c>
      <c r="FK6" t="e">
        <f>IF('Voda,Ogrevanje'!#REF!,"AAAAAC9/O6Y=",0)</f>
        <v>#REF!</v>
      </c>
      <c r="FL6" t="e">
        <f>AND('Voda,Ogrevanje'!#REF!,"AAAAAC9/O6c=")</f>
        <v>#REF!</v>
      </c>
      <c r="FM6" t="e">
        <f>AND('Voda,Ogrevanje'!#REF!,"AAAAAC9/O6g=")</f>
        <v>#REF!</v>
      </c>
      <c r="FN6" t="e">
        <f>AND('Voda,Ogrevanje'!#REF!,"AAAAAC9/O6k=")</f>
        <v>#REF!</v>
      </c>
      <c r="FO6" t="e">
        <f>AND('Voda,Ogrevanje'!#REF!,"AAAAAC9/O6o=")</f>
        <v>#REF!</v>
      </c>
      <c r="FP6" t="e">
        <f>AND('Voda,Ogrevanje'!#REF!,"AAAAAC9/O6s=")</f>
        <v>#REF!</v>
      </c>
      <c r="FQ6" t="e">
        <f>AND('Voda,Ogrevanje'!#REF!,"AAAAAC9/O6w=")</f>
        <v>#REF!</v>
      </c>
      <c r="FR6" t="e">
        <f>IF('Voda,Ogrevanje'!#REF!,"AAAAAC9/O60=",0)</f>
        <v>#REF!</v>
      </c>
      <c r="FS6" t="e">
        <f>AND('Voda,Ogrevanje'!#REF!,"AAAAAC9/O64=")</f>
        <v>#REF!</v>
      </c>
      <c r="FT6" t="e">
        <f>AND('Voda,Ogrevanje'!#REF!,"AAAAAC9/O68=")</f>
        <v>#REF!</v>
      </c>
      <c r="FU6" t="e">
        <f>AND('Voda,Ogrevanje'!#REF!,"AAAAAC9/O7A=")</f>
        <v>#REF!</v>
      </c>
      <c r="FV6" t="e">
        <f>AND('Voda,Ogrevanje'!#REF!,"AAAAAC9/O7E=")</f>
        <v>#REF!</v>
      </c>
      <c r="FW6" t="e">
        <f>AND('Voda,Ogrevanje'!#REF!,"AAAAAC9/O7I=")</f>
        <v>#REF!</v>
      </c>
      <c r="FX6" t="e">
        <f>AND('Voda,Ogrevanje'!#REF!,"AAAAAC9/O7M=")</f>
        <v>#REF!</v>
      </c>
      <c r="FY6" t="e">
        <f>IF('Voda,Ogrevanje'!#REF!,"AAAAAC9/O7Q=",0)</f>
        <v>#REF!</v>
      </c>
      <c r="FZ6" t="e">
        <f>AND('Voda,Ogrevanje'!#REF!,"AAAAAC9/O7U=")</f>
        <v>#REF!</v>
      </c>
      <c r="GA6" t="e">
        <f>AND('Voda,Ogrevanje'!#REF!,"AAAAAC9/O7Y=")</f>
        <v>#REF!</v>
      </c>
      <c r="GB6" t="e">
        <f>AND('Voda,Ogrevanje'!#REF!,"AAAAAC9/O7c=")</f>
        <v>#REF!</v>
      </c>
      <c r="GC6" t="e">
        <f>AND('Voda,Ogrevanje'!#REF!,"AAAAAC9/O7g=")</f>
        <v>#REF!</v>
      </c>
      <c r="GD6" t="e">
        <f>AND('Voda,Ogrevanje'!#REF!,"AAAAAC9/O7k=")</f>
        <v>#REF!</v>
      </c>
      <c r="GE6" t="e">
        <f>AND('Voda,Ogrevanje'!#REF!,"AAAAAC9/O7o=")</f>
        <v>#REF!</v>
      </c>
      <c r="GF6">
        <f>IF('Voda,Ogrevanje'!54:54,"AAAAAC9/O7s=",0)</f>
        <v>0</v>
      </c>
      <c r="GG6" t="e">
        <f>AND('Voda,Ogrevanje'!A54,"AAAAAC9/O7w=")</f>
        <v>#VALUE!</v>
      </c>
      <c r="GH6" t="e">
        <f>AND('Voda,Ogrevanje'!B54,"AAAAAC9/O70=")</f>
        <v>#VALUE!</v>
      </c>
      <c r="GI6" t="e">
        <f>AND('Voda,Ogrevanje'!C54,"AAAAAC9/O74=")</f>
        <v>#VALUE!</v>
      </c>
      <c r="GJ6" t="e">
        <f>AND('Voda,Ogrevanje'!D54,"AAAAAC9/O78=")</f>
        <v>#VALUE!</v>
      </c>
      <c r="GK6" t="e">
        <f>AND('Voda,Ogrevanje'!E54,"AAAAAC9/O8A=")</f>
        <v>#VALUE!</v>
      </c>
      <c r="GL6" t="e">
        <f>AND('Voda,Ogrevanje'!F54,"AAAAAC9/O8E=")</f>
        <v>#VALUE!</v>
      </c>
      <c r="GM6">
        <f>IF('Voda,Ogrevanje'!55:55,"AAAAAC9/O8I=",0)</f>
        <v>0</v>
      </c>
      <c r="GN6" t="e">
        <f>AND('Voda,Ogrevanje'!A55,"AAAAAC9/O8M=")</f>
        <v>#VALUE!</v>
      </c>
      <c r="GO6" t="e">
        <f>AND('Voda,Ogrevanje'!B55,"AAAAAC9/O8Q=")</f>
        <v>#VALUE!</v>
      </c>
      <c r="GP6" t="e">
        <f>AND('Voda,Ogrevanje'!C55,"AAAAAC9/O8U=")</f>
        <v>#VALUE!</v>
      </c>
      <c r="GQ6" t="e">
        <f>AND('Voda,Ogrevanje'!D55,"AAAAAC9/O8Y=")</f>
        <v>#VALUE!</v>
      </c>
      <c r="GR6" t="e">
        <f>AND('Voda,Ogrevanje'!E55,"AAAAAC9/O8c=")</f>
        <v>#VALUE!</v>
      </c>
      <c r="GS6" t="e">
        <f>AND('Voda,Ogrevanje'!F55,"AAAAAC9/O8g=")</f>
        <v>#VALUE!</v>
      </c>
      <c r="GT6">
        <f>IF('Voda,Ogrevanje'!56:56,"AAAAAC9/O8k=",0)</f>
        <v>0</v>
      </c>
      <c r="GU6" t="e">
        <f>AND('Voda,Ogrevanje'!A56,"AAAAAC9/O8o=")</f>
        <v>#VALUE!</v>
      </c>
      <c r="GV6" t="e">
        <f>AND('Voda,Ogrevanje'!B56,"AAAAAC9/O8s=")</f>
        <v>#VALUE!</v>
      </c>
      <c r="GW6" t="e">
        <f>AND('Voda,Ogrevanje'!C56,"AAAAAC9/O8w=")</f>
        <v>#VALUE!</v>
      </c>
      <c r="GX6" t="e">
        <f>AND('Voda,Ogrevanje'!D56,"AAAAAC9/O80=")</f>
        <v>#VALUE!</v>
      </c>
      <c r="GY6" t="e">
        <f>AND('Voda,Ogrevanje'!E56,"AAAAAC9/O84=")</f>
        <v>#VALUE!</v>
      </c>
      <c r="GZ6" t="e">
        <f>AND('Voda,Ogrevanje'!F56,"AAAAAC9/O88=")</f>
        <v>#VALUE!</v>
      </c>
      <c r="HA6">
        <f>IF('Voda,Ogrevanje'!57:57,"AAAAAC9/O9A=",0)</f>
        <v>0</v>
      </c>
      <c r="HB6" t="e">
        <f>AND('Voda,Ogrevanje'!A57,"AAAAAC9/O9E=")</f>
        <v>#VALUE!</v>
      </c>
      <c r="HC6" t="e">
        <f>AND('Voda,Ogrevanje'!B57,"AAAAAC9/O9I=")</f>
        <v>#VALUE!</v>
      </c>
      <c r="HD6" t="e">
        <f>AND('Voda,Ogrevanje'!C57,"AAAAAC9/O9M=")</f>
        <v>#VALUE!</v>
      </c>
      <c r="HE6" t="e">
        <f>AND('Voda,Ogrevanje'!D57,"AAAAAC9/O9Q=")</f>
        <v>#VALUE!</v>
      </c>
      <c r="HF6" t="e">
        <f>AND('Voda,Ogrevanje'!E57,"AAAAAC9/O9U=")</f>
        <v>#VALUE!</v>
      </c>
      <c r="HG6" t="e">
        <f>AND('Voda,Ogrevanje'!F57,"AAAAAC9/O9Y=")</f>
        <v>#VALUE!</v>
      </c>
      <c r="HH6">
        <f>IF('Voda,Ogrevanje'!58:58,"AAAAAC9/O9c=",0)</f>
        <v>0</v>
      </c>
      <c r="HI6" t="e">
        <f>AND('Voda,Ogrevanje'!A58,"AAAAAC9/O9g=")</f>
        <v>#VALUE!</v>
      </c>
      <c r="HJ6" t="e">
        <f>AND('Voda,Ogrevanje'!B58,"AAAAAC9/O9k=")</f>
        <v>#VALUE!</v>
      </c>
      <c r="HK6" t="e">
        <f>AND('Voda,Ogrevanje'!C58,"AAAAAC9/O9o=")</f>
        <v>#VALUE!</v>
      </c>
      <c r="HL6" t="e">
        <f>AND('Voda,Ogrevanje'!D58,"AAAAAC9/O9s=")</f>
        <v>#VALUE!</v>
      </c>
      <c r="HM6" t="e">
        <f>AND('Voda,Ogrevanje'!E58,"AAAAAC9/O9w=")</f>
        <v>#VALUE!</v>
      </c>
      <c r="HN6" t="e">
        <f>AND('Voda,Ogrevanje'!F58,"AAAAAC9/O90=")</f>
        <v>#VALUE!</v>
      </c>
      <c r="HO6">
        <f>IF('Voda,Ogrevanje'!59:59,"AAAAAC9/O94=",0)</f>
        <v>0</v>
      </c>
      <c r="HP6" t="e">
        <f>AND('Voda,Ogrevanje'!A59,"AAAAAC9/O98=")</f>
        <v>#VALUE!</v>
      </c>
      <c r="HQ6" t="e">
        <f>AND('Voda,Ogrevanje'!B59,"AAAAAC9/O+A=")</f>
        <v>#VALUE!</v>
      </c>
      <c r="HR6" t="e">
        <f>AND('Voda,Ogrevanje'!C59,"AAAAAC9/O+E=")</f>
        <v>#VALUE!</v>
      </c>
      <c r="HS6" t="e">
        <f>AND('Voda,Ogrevanje'!D59,"AAAAAC9/O+I=")</f>
        <v>#VALUE!</v>
      </c>
      <c r="HT6" t="e">
        <f>AND('Voda,Ogrevanje'!E59,"AAAAAC9/O+M=")</f>
        <v>#VALUE!</v>
      </c>
      <c r="HU6" t="e">
        <f>AND('Voda,Ogrevanje'!F59,"AAAAAC9/O+Q=")</f>
        <v>#VALUE!</v>
      </c>
      <c r="HV6">
        <f>IF('Voda,Ogrevanje'!60:60,"AAAAAC9/O+U=",0)</f>
        <v>0</v>
      </c>
      <c r="HW6" t="e">
        <f>AND('Voda,Ogrevanje'!A60,"AAAAAC9/O+Y=")</f>
        <v>#VALUE!</v>
      </c>
      <c r="HX6" t="e">
        <f>AND('Voda,Ogrevanje'!B60,"AAAAAC9/O+c=")</f>
        <v>#VALUE!</v>
      </c>
      <c r="HY6" t="e">
        <f>AND('Voda,Ogrevanje'!C60,"AAAAAC9/O+g=")</f>
        <v>#VALUE!</v>
      </c>
      <c r="HZ6" t="e">
        <f>AND('Voda,Ogrevanje'!D60,"AAAAAC9/O+k=")</f>
        <v>#VALUE!</v>
      </c>
      <c r="IA6" t="e">
        <f>AND('Voda,Ogrevanje'!E60,"AAAAAC9/O+o=")</f>
        <v>#VALUE!</v>
      </c>
      <c r="IB6" t="e">
        <f>AND('Voda,Ogrevanje'!F60,"AAAAAC9/O+s=")</f>
        <v>#VALUE!</v>
      </c>
      <c r="IC6">
        <f>IF('Voda,Ogrevanje'!61:61,"AAAAAC9/O+w=",0)</f>
        <v>0</v>
      </c>
      <c r="ID6" t="e">
        <f>AND('Voda,Ogrevanje'!A61,"AAAAAC9/O+0=")</f>
        <v>#VALUE!</v>
      </c>
      <c r="IE6" t="e">
        <f>AND('Voda,Ogrevanje'!B61,"AAAAAC9/O+4=")</f>
        <v>#VALUE!</v>
      </c>
      <c r="IF6" t="e">
        <f>AND('Voda,Ogrevanje'!C61,"AAAAAC9/O+8=")</f>
        <v>#VALUE!</v>
      </c>
      <c r="IG6" t="e">
        <f>AND('Voda,Ogrevanje'!D61,"AAAAAC9/O/A=")</f>
        <v>#VALUE!</v>
      </c>
      <c r="IH6" t="e">
        <f>AND('Voda,Ogrevanje'!E61,"AAAAAC9/O/E=")</f>
        <v>#VALUE!</v>
      </c>
      <c r="II6" t="e">
        <f>AND('Voda,Ogrevanje'!F61,"AAAAAC9/O/I=")</f>
        <v>#VALUE!</v>
      </c>
      <c r="IJ6">
        <f>IF('Voda,Ogrevanje'!62:62,"AAAAAC9/O/M=",0)</f>
        <v>0</v>
      </c>
      <c r="IK6" t="e">
        <f>AND('Voda,Ogrevanje'!A62,"AAAAAC9/O/Q=")</f>
        <v>#VALUE!</v>
      </c>
      <c r="IL6" t="e">
        <f>AND('Voda,Ogrevanje'!B62,"AAAAAC9/O/U=")</f>
        <v>#VALUE!</v>
      </c>
      <c r="IM6" t="e">
        <f>AND('Voda,Ogrevanje'!C62,"AAAAAC9/O/Y=")</f>
        <v>#VALUE!</v>
      </c>
      <c r="IN6" t="e">
        <f>AND('Voda,Ogrevanje'!D62,"AAAAAC9/O/c=")</f>
        <v>#VALUE!</v>
      </c>
      <c r="IO6" t="e">
        <f>AND('Voda,Ogrevanje'!E62,"AAAAAC9/O/g=")</f>
        <v>#VALUE!</v>
      </c>
      <c r="IP6" t="e">
        <f>AND('Voda,Ogrevanje'!F62,"AAAAAC9/O/k=")</f>
        <v>#VALUE!</v>
      </c>
      <c r="IQ6">
        <f>IF('Voda,Ogrevanje'!63:63,"AAAAAC9/O/o=",0)</f>
        <v>0</v>
      </c>
      <c r="IR6" t="e">
        <f>AND('Voda,Ogrevanje'!A63,"AAAAAC9/O/s=")</f>
        <v>#VALUE!</v>
      </c>
      <c r="IS6" t="e">
        <f>AND('Voda,Ogrevanje'!B63,"AAAAAC9/O/w=")</f>
        <v>#VALUE!</v>
      </c>
      <c r="IT6" t="e">
        <f>AND('Voda,Ogrevanje'!C63,"AAAAAC9/O/0=")</f>
        <v>#VALUE!</v>
      </c>
      <c r="IU6" t="e">
        <f>AND('Voda,Ogrevanje'!D63,"AAAAAC9/O/4=")</f>
        <v>#VALUE!</v>
      </c>
      <c r="IV6" t="e">
        <f>AND('Voda,Ogrevanje'!E63,"AAAAAC9/O/8=")</f>
        <v>#VALUE!</v>
      </c>
    </row>
    <row r="7" spans="1:256" ht="12.75">
      <c r="A7" t="e">
        <f>AND('Voda,Ogrevanje'!F63,"AAAAAGv13gA=")</f>
        <v>#VALUE!</v>
      </c>
      <c r="B7" t="e">
        <f>IF('Voda,Ogrevanje'!64:64,"AAAAAGv13gE=",0)</f>
        <v>#VALUE!</v>
      </c>
      <c r="C7" t="e">
        <f>AND('Voda,Ogrevanje'!A64,"AAAAAGv13gI=")</f>
        <v>#VALUE!</v>
      </c>
      <c r="D7" t="e">
        <f>AND('Voda,Ogrevanje'!B64,"AAAAAGv13gM=")</f>
        <v>#VALUE!</v>
      </c>
      <c r="E7" t="e">
        <f>AND('Voda,Ogrevanje'!C64,"AAAAAGv13gQ=")</f>
        <v>#VALUE!</v>
      </c>
      <c r="F7" t="e">
        <f>AND('Voda,Ogrevanje'!D64,"AAAAAGv13gU=")</f>
        <v>#VALUE!</v>
      </c>
      <c r="G7" t="e">
        <f>AND('Voda,Ogrevanje'!E64,"AAAAAGv13gY=")</f>
        <v>#VALUE!</v>
      </c>
      <c r="H7" t="e">
        <f>AND('Voda,Ogrevanje'!F64,"AAAAAGv13gc=")</f>
        <v>#VALUE!</v>
      </c>
      <c r="I7">
        <f>IF('Voda,Ogrevanje'!65:65,"AAAAAGv13gg=",0)</f>
        <v>0</v>
      </c>
      <c r="J7" t="e">
        <f>AND('Voda,Ogrevanje'!A65,"AAAAAGv13gk=")</f>
        <v>#VALUE!</v>
      </c>
      <c r="K7" t="e">
        <f>AND('Voda,Ogrevanje'!B65,"AAAAAGv13go=")</f>
        <v>#VALUE!</v>
      </c>
      <c r="L7" t="e">
        <f>AND('Voda,Ogrevanje'!C65,"AAAAAGv13gs=")</f>
        <v>#VALUE!</v>
      </c>
      <c r="M7" t="e">
        <f>AND('Voda,Ogrevanje'!D65,"AAAAAGv13gw=")</f>
        <v>#VALUE!</v>
      </c>
      <c r="N7" t="e">
        <f>AND('Voda,Ogrevanje'!E65,"AAAAAGv13g0=")</f>
        <v>#VALUE!</v>
      </c>
      <c r="O7" t="e">
        <f>AND('Voda,Ogrevanje'!F65,"AAAAAGv13g4=")</f>
        <v>#VALUE!</v>
      </c>
      <c r="P7">
        <f>IF('Voda,Ogrevanje'!66:66,"AAAAAGv13g8=",0)</f>
        <v>0</v>
      </c>
      <c r="Q7" t="e">
        <f>AND('Voda,Ogrevanje'!A66,"AAAAAGv13hA=")</f>
        <v>#VALUE!</v>
      </c>
      <c r="R7" t="e">
        <f>AND('Voda,Ogrevanje'!B66,"AAAAAGv13hE=")</f>
        <v>#VALUE!</v>
      </c>
      <c r="S7" t="e">
        <f>AND('Voda,Ogrevanje'!C66,"AAAAAGv13hI=")</f>
        <v>#VALUE!</v>
      </c>
      <c r="T7" t="e">
        <f>AND('Voda,Ogrevanje'!D66,"AAAAAGv13hM=")</f>
        <v>#VALUE!</v>
      </c>
      <c r="U7" t="e">
        <f>AND('Voda,Ogrevanje'!E66,"AAAAAGv13hQ=")</f>
        <v>#VALUE!</v>
      </c>
      <c r="V7" t="e">
        <f>AND('Voda,Ogrevanje'!F66,"AAAAAGv13hU=")</f>
        <v>#VALUE!</v>
      </c>
      <c r="W7">
        <f>IF('Voda,Ogrevanje'!67:67,"AAAAAGv13hY=",0)</f>
        <v>0</v>
      </c>
      <c r="X7" t="e">
        <f>AND('Voda,Ogrevanje'!A67,"AAAAAGv13hc=")</f>
        <v>#VALUE!</v>
      </c>
      <c r="Y7" t="e">
        <f>AND('Voda,Ogrevanje'!B67,"AAAAAGv13hg=")</f>
        <v>#VALUE!</v>
      </c>
      <c r="Z7" t="e">
        <f>AND('Voda,Ogrevanje'!C67,"AAAAAGv13hk=")</f>
        <v>#VALUE!</v>
      </c>
      <c r="AA7" t="e">
        <f>AND('Voda,Ogrevanje'!D67,"AAAAAGv13ho=")</f>
        <v>#VALUE!</v>
      </c>
      <c r="AB7" t="e">
        <f>AND('Voda,Ogrevanje'!E67,"AAAAAGv13hs=")</f>
        <v>#VALUE!</v>
      </c>
      <c r="AC7" t="e">
        <f>AND('Voda,Ogrevanje'!F67,"AAAAAGv13hw=")</f>
        <v>#VALUE!</v>
      </c>
      <c r="AD7">
        <f>IF('Voda,Ogrevanje'!68:68,"AAAAAGv13h0=",0)</f>
        <v>0</v>
      </c>
      <c r="AE7" t="e">
        <f>AND('Voda,Ogrevanje'!A68,"AAAAAGv13h4=")</f>
        <v>#VALUE!</v>
      </c>
      <c r="AF7" t="e">
        <f>AND('Voda,Ogrevanje'!B68,"AAAAAGv13h8=")</f>
        <v>#VALUE!</v>
      </c>
      <c r="AG7" t="e">
        <f>AND('Voda,Ogrevanje'!C68,"AAAAAGv13iA=")</f>
        <v>#VALUE!</v>
      </c>
      <c r="AH7" t="e">
        <f>AND('Voda,Ogrevanje'!D68,"AAAAAGv13iE=")</f>
        <v>#VALUE!</v>
      </c>
      <c r="AI7" t="e">
        <f>AND('Voda,Ogrevanje'!E68,"AAAAAGv13iI=")</f>
        <v>#VALUE!</v>
      </c>
      <c r="AJ7" t="e">
        <f>AND('Voda,Ogrevanje'!F68,"AAAAAGv13iM=")</f>
        <v>#VALUE!</v>
      </c>
      <c r="AK7">
        <f>IF('Voda,Ogrevanje'!69:69,"AAAAAGv13iQ=",0)</f>
        <v>0</v>
      </c>
      <c r="AL7" t="e">
        <f>AND('Voda,Ogrevanje'!A69,"AAAAAGv13iU=")</f>
        <v>#VALUE!</v>
      </c>
      <c r="AM7" t="e">
        <f>AND('Voda,Ogrevanje'!B69,"AAAAAGv13iY=")</f>
        <v>#VALUE!</v>
      </c>
      <c r="AN7" t="e">
        <f>AND('Voda,Ogrevanje'!C69,"AAAAAGv13ic=")</f>
        <v>#VALUE!</v>
      </c>
      <c r="AO7" t="e">
        <f>AND('Voda,Ogrevanje'!D69,"AAAAAGv13ig=")</f>
        <v>#VALUE!</v>
      </c>
      <c r="AP7" t="e">
        <f>AND('Voda,Ogrevanje'!E69,"AAAAAGv13ik=")</f>
        <v>#VALUE!</v>
      </c>
      <c r="AQ7" t="e">
        <f>AND('Voda,Ogrevanje'!F69,"AAAAAGv13io=")</f>
        <v>#VALUE!</v>
      </c>
      <c r="AR7">
        <f>IF('Voda,Ogrevanje'!70:70,"AAAAAGv13is=",0)</f>
        <v>0</v>
      </c>
      <c r="AS7" t="e">
        <f>AND('Voda,Ogrevanje'!A70,"AAAAAGv13iw=")</f>
        <v>#VALUE!</v>
      </c>
      <c r="AT7" t="e">
        <f>AND('Voda,Ogrevanje'!B70,"AAAAAGv13i0=")</f>
        <v>#VALUE!</v>
      </c>
      <c r="AU7" t="e">
        <f>AND('Voda,Ogrevanje'!C70,"AAAAAGv13i4=")</f>
        <v>#VALUE!</v>
      </c>
      <c r="AV7" t="e">
        <f>AND('Voda,Ogrevanje'!D70,"AAAAAGv13i8=")</f>
        <v>#VALUE!</v>
      </c>
      <c r="AW7" t="e">
        <f>AND('Voda,Ogrevanje'!E70,"AAAAAGv13jA=")</f>
        <v>#VALUE!</v>
      </c>
      <c r="AX7" t="e">
        <f>AND('Voda,Ogrevanje'!F70,"AAAAAGv13jE=")</f>
        <v>#VALUE!</v>
      </c>
      <c r="AY7">
        <f>IF('Voda,Ogrevanje'!71:71,"AAAAAGv13jI=",0)</f>
        <v>0</v>
      </c>
      <c r="AZ7" t="e">
        <f>AND('Voda,Ogrevanje'!A71,"AAAAAGv13jM=")</f>
        <v>#VALUE!</v>
      </c>
      <c r="BA7" t="e">
        <f>AND('Voda,Ogrevanje'!B71,"AAAAAGv13jQ=")</f>
        <v>#VALUE!</v>
      </c>
      <c r="BB7" t="e">
        <f>AND('Voda,Ogrevanje'!C71,"AAAAAGv13jU=")</f>
        <v>#VALUE!</v>
      </c>
      <c r="BC7" t="e">
        <f>AND('Voda,Ogrevanje'!D71,"AAAAAGv13jY=")</f>
        <v>#VALUE!</v>
      </c>
      <c r="BD7" t="e">
        <f>AND('Voda,Ogrevanje'!E71,"AAAAAGv13jc=")</f>
        <v>#VALUE!</v>
      </c>
      <c r="BE7" t="e">
        <f>AND('Voda,Ogrevanje'!F71,"AAAAAGv13jg=")</f>
        <v>#VALUE!</v>
      </c>
      <c r="BF7">
        <f>IF('Voda,Ogrevanje'!72:72,"AAAAAGv13jk=",0)</f>
        <v>0</v>
      </c>
      <c r="BG7" t="e">
        <f>AND('Voda,Ogrevanje'!A72,"AAAAAGv13jo=")</f>
        <v>#VALUE!</v>
      </c>
      <c r="BH7" t="e">
        <f>AND('Voda,Ogrevanje'!B72,"AAAAAGv13js=")</f>
        <v>#VALUE!</v>
      </c>
      <c r="BI7" t="e">
        <f>AND('Voda,Ogrevanje'!C72,"AAAAAGv13jw=")</f>
        <v>#VALUE!</v>
      </c>
      <c r="BJ7" t="e">
        <f>AND('Voda,Ogrevanje'!D72,"AAAAAGv13j0=")</f>
        <v>#VALUE!</v>
      </c>
      <c r="BK7" t="e">
        <f>AND('Voda,Ogrevanje'!E72,"AAAAAGv13j4=")</f>
        <v>#VALUE!</v>
      </c>
      <c r="BL7" t="e">
        <f>AND('Voda,Ogrevanje'!F72,"AAAAAGv13j8=")</f>
        <v>#VALUE!</v>
      </c>
      <c r="BM7">
        <f>IF('Voda,Ogrevanje'!73:73,"AAAAAGv13kA=",0)</f>
        <v>0</v>
      </c>
      <c r="BN7" t="e">
        <f>AND('Voda,Ogrevanje'!A73,"AAAAAGv13kE=")</f>
        <v>#VALUE!</v>
      </c>
      <c r="BO7" t="e">
        <f>AND('Voda,Ogrevanje'!B73,"AAAAAGv13kI=")</f>
        <v>#VALUE!</v>
      </c>
      <c r="BP7" t="e">
        <f>AND('Voda,Ogrevanje'!C73,"AAAAAGv13kM=")</f>
        <v>#VALUE!</v>
      </c>
      <c r="BQ7" t="e">
        <f>AND('Voda,Ogrevanje'!D73,"AAAAAGv13kQ=")</f>
        <v>#VALUE!</v>
      </c>
      <c r="BR7" t="e">
        <f>AND('Voda,Ogrevanje'!E73,"AAAAAGv13kU=")</f>
        <v>#VALUE!</v>
      </c>
      <c r="BS7" t="e">
        <f>AND('Voda,Ogrevanje'!F73,"AAAAAGv13kY=")</f>
        <v>#VALUE!</v>
      </c>
      <c r="BT7">
        <f>IF('Voda,Ogrevanje'!74:74,"AAAAAGv13kc=",0)</f>
        <v>0</v>
      </c>
      <c r="BU7" t="e">
        <f>AND('Voda,Ogrevanje'!A74,"AAAAAGv13kg=")</f>
        <v>#VALUE!</v>
      </c>
      <c r="BV7" t="e">
        <f>AND('Voda,Ogrevanje'!B74,"AAAAAGv13kk=")</f>
        <v>#VALUE!</v>
      </c>
      <c r="BW7" t="e">
        <f>AND('Voda,Ogrevanje'!C74,"AAAAAGv13ko=")</f>
        <v>#VALUE!</v>
      </c>
      <c r="BX7" t="e">
        <f>AND('Voda,Ogrevanje'!D74,"AAAAAGv13ks=")</f>
        <v>#VALUE!</v>
      </c>
      <c r="BY7" t="e">
        <f>AND('Voda,Ogrevanje'!E74,"AAAAAGv13kw=")</f>
        <v>#VALUE!</v>
      </c>
      <c r="BZ7" t="e">
        <f>AND('Voda,Ogrevanje'!F74,"AAAAAGv13k0=")</f>
        <v>#VALUE!</v>
      </c>
      <c r="CA7">
        <f>IF('Voda,Ogrevanje'!75:75,"AAAAAGv13k4=",0)</f>
        <v>0</v>
      </c>
      <c r="CB7" t="e">
        <f>AND('Voda,Ogrevanje'!A75,"AAAAAGv13k8=")</f>
        <v>#VALUE!</v>
      </c>
      <c r="CC7" t="e">
        <f>AND('Voda,Ogrevanje'!B75,"AAAAAGv13lA=")</f>
        <v>#VALUE!</v>
      </c>
      <c r="CD7" t="e">
        <f>AND('Voda,Ogrevanje'!C75,"AAAAAGv13lE=")</f>
        <v>#VALUE!</v>
      </c>
      <c r="CE7" t="e">
        <f>AND('Voda,Ogrevanje'!D75,"AAAAAGv13lI=")</f>
        <v>#VALUE!</v>
      </c>
      <c r="CF7" t="e">
        <f>AND('Voda,Ogrevanje'!E75,"AAAAAGv13lM=")</f>
        <v>#VALUE!</v>
      </c>
      <c r="CG7" t="e">
        <f>AND('Voda,Ogrevanje'!F75,"AAAAAGv13lQ=")</f>
        <v>#VALUE!</v>
      </c>
      <c r="CH7">
        <f>IF('Voda,Ogrevanje'!76:76,"AAAAAGv13lU=",0)</f>
        <v>0</v>
      </c>
      <c r="CI7" t="e">
        <f>AND('Voda,Ogrevanje'!A76,"AAAAAGv13lY=")</f>
        <v>#VALUE!</v>
      </c>
      <c r="CJ7" t="e">
        <f>AND('Voda,Ogrevanje'!B76,"AAAAAGv13lc=")</f>
        <v>#VALUE!</v>
      </c>
      <c r="CK7" t="e">
        <f>AND('Voda,Ogrevanje'!C76,"AAAAAGv13lg=")</f>
        <v>#VALUE!</v>
      </c>
      <c r="CL7" t="e">
        <f>AND('Voda,Ogrevanje'!D76,"AAAAAGv13lk=")</f>
        <v>#VALUE!</v>
      </c>
      <c r="CM7" t="e">
        <f>AND('Voda,Ogrevanje'!E76,"AAAAAGv13lo=")</f>
        <v>#VALUE!</v>
      </c>
      <c r="CN7" t="e">
        <f>AND('Voda,Ogrevanje'!F76,"AAAAAGv13ls=")</f>
        <v>#VALUE!</v>
      </c>
      <c r="CO7">
        <f>IF('Voda,Ogrevanje'!77:77,"AAAAAGv13lw=",0)</f>
        <v>0</v>
      </c>
      <c r="CP7" t="e">
        <f>AND('Voda,Ogrevanje'!A77,"AAAAAGv13l0=")</f>
        <v>#VALUE!</v>
      </c>
      <c r="CQ7" t="e">
        <f>AND('Voda,Ogrevanje'!B77,"AAAAAGv13l4=")</f>
        <v>#VALUE!</v>
      </c>
      <c r="CR7" t="e">
        <f>AND('Voda,Ogrevanje'!C77,"AAAAAGv13l8=")</f>
        <v>#VALUE!</v>
      </c>
      <c r="CS7" t="e">
        <f>AND('Voda,Ogrevanje'!D77,"AAAAAGv13mA=")</f>
        <v>#VALUE!</v>
      </c>
      <c r="CT7" t="e">
        <f>AND('Voda,Ogrevanje'!E77,"AAAAAGv13mE=")</f>
        <v>#VALUE!</v>
      </c>
      <c r="CU7" t="e">
        <f>AND('Voda,Ogrevanje'!F77,"AAAAAGv13mI=")</f>
        <v>#VALUE!</v>
      </c>
      <c r="CV7">
        <f>IF('Voda,Ogrevanje'!78:78,"AAAAAGv13mM=",0)</f>
        <v>0</v>
      </c>
      <c r="CW7" t="e">
        <f>AND('Voda,Ogrevanje'!A78,"AAAAAGv13mQ=")</f>
        <v>#VALUE!</v>
      </c>
      <c r="CX7" t="e">
        <f>AND('Voda,Ogrevanje'!B78,"AAAAAGv13mU=")</f>
        <v>#VALUE!</v>
      </c>
      <c r="CY7" t="e">
        <f>AND('Voda,Ogrevanje'!C78,"AAAAAGv13mY=")</f>
        <v>#VALUE!</v>
      </c>
      <c r="CZ7" t="e">
        <f>AND('Voda,Ogrevanje'!D78,"AAAAAGv13mc=")</f>
        <v>#VALUE!</v>
      </c>
      <c r="DA7" t="e">
        <f>AND('Voda,Ogrevanje'!E78,"AAAAAGv13mg=")</f>
        <v>#VALUE!</v>
      </c>
      <c r="DB7" t="e">
        <f>AND('Voda,Ogrevanje'!F78,"AAAAAGv13mk=")</f>
        <v>#VALUE!</v>
      </c>
      <c r="DC7">
        <f>IF('Voda,Ogrevanje'!79:79,"AAAAAGv13mo=",0)</f>
        <v>0</v>
      </c>
      <c r="DD7" t="e">
        <f>AND('Voda,Ogrevanje'!A79,"AAAAAGv13ms=")</f>
        <v>#VALUE!</v>
      </c>
      <c r="DE7" t="e">
        <f>AND('Voda,Ogrevanje'!B79,"AAAAAGv13mw=")</f>
        <v>#VALUE!</v>
      </c>
      <c r="DF7" t="e">
        <f>AND('Voda,Ogrevanje'!C79,"AAAAAGv13m0=")</f>
        <v>#VALUE!</v>
      </c>
      <c r="DG7" t="e">
        <f>AND('Voda,Ogrevanje'!D79,"AAAAAGv13m4=")</f>
        <v>#VALUE!</v>
      </c>
      <c r="DH7" t="e">
        <f>AND('Voda,Ogrevanje'!E79,"AAAAAGv13m8=")</f>
        <v>#VALUE!</v>
      </c>
      <c r="DI7" t="e">
        <f>AND('Voda,Ogrevanje'!F79,"AAAAAGv13nA=")</f>
        <v>#VALUE!</v>
      </c>
      <c r="DJ7">
        <f>IF('Voda,Ogrevanje'!80:80,"AAAAAGv13nE=",0)</f>
        <v>0</v>
      </c>
      <c r="DK7" t="e">
        <f>AND('Voda,Ogrevanje'!A80,"AAAAAGv13nI=")</f>
        <v>#VALUE!</v>
      </c>
      <c r="DL7" t="e">
        <f>AND('Voda,Ogrevanje'!B80,"AAAAAGv13nM=")</f>
        <v>#VALUE!</v>
      </c>
      <c r="DM7" t="e">
        <f>AND('Voda,Ogrevanje'!C80,"AAAAAGv13nQ=")</f>
        <v>#VALUE!</v>
      </c>
      <c r="DN7" t="e">
        <f>AND('Voda,Ogrevanje'!D80,"AAAAAGv13nU=")</f>
        <v>#VALUE!</v>
      </c>
      <c r="DO7" t="e">
        <f>AND('Voda,Ogrevanje'!E80,"AAAAAGv13nY=")</f>
        <v>#VALUE!</v>
      </c>
      <c r="DP7" t="e">
        <f>AND('Voda,Ogrevanje'!F80,"AAAAAGv13nc=")</f>
        <v>#VALUE!</v>
      </c>
      <c r="DQ7">
        <f>IF('Voda,Ogrevanje'!81:81,"AAAAAGv13ng=",0)</f>
        <v>0</v>
      </c>
      <c r="DR7" t="e">
        <f>AND('Voda,Ogrevanje'!A81,"AAAAAGv13nk=")</f>
        <v>#VALUE!</v>
      </c>
      <c r="DS7" t="e">
        <f>AND('Voda,Ogrevanje'!B81,"AAAAAGv13no=")</f>
        <v>#VALUE!</v>
      </c>
      <c r="DT7" t="e">
        <f>AND('Voda,Ogrevanje'!C81,"AAAAAGv13ns=")</f>
        <v>#VALUE!</v>
      </c>
      <c r="DU7" t="e">
        <f>AND('Voda,Ogrevanje'!D81,"AAAAAGv13nw=")</f>
        <v>#VALUE!</v>
      </c>
      <c r="DV7" t="e">
        <f>AND('Voda,Ogrevanje'!E81,"AAAAAGv13n0=")</f>
        <v>#VALUE!</v>
      </c>
      <c r="DW7" t="e">
        <f>AND('Voda,Ogrevanje'!F81,"AAAAAGv13n4=")</f>
        <v>#VALUE!</v>
      </c>
      <c r="DX7">
        <f>IF('Voda,Ogrevanje'!82:82,"AAAAAGv13n8=",0)</f>
        <v>0</v>
      </c>
      <c r="DY7" t="e">
        <f>AND('Voda,Ogrevanje'!A82,"AAAAAGv13oA=")</f>
        <v>#VALUE!</v>
      </c>
      <c r="DZ7" t="e">
        <f>AND('Voda,Ogrevanje'!B82,"AAAAAGv13oE=")</f>
        <v>#VALUE!</v>
      </c>
      <c r="EA7" t="e">
        <f>AND('Voda,Ogrevanje'!C82,"AAAAAGv13oI=")</f>
        <v>#VALUE!</v>
      </c>
      <c r="EB7" t="e">
        <f>AND('Voda,Ogrevanje'!D82,"AAAAAGv13oM=")</f>
        <v>#VALUE!</v>
      </c>
      <c r="EC7" t="e">
        <f>AND('Voda,Ogrevanje'!E82,"AAAAAGv13oQ=")</f>
        <v>#VALUE!</v>
      </c>
      <c r="ED7" t="e">
        <f>AND('Voda,Ogrevanje'!F82,"AAAAAGv13oU=")</f>
        <v>#VALUE!</v>
      </c>
      <c r="EE7">
        <f>IF('Voda,Ogrevanje'!83:83,"AAAAAGv13oY=",0)</f>
        <v>0</v>
      </c>
      <c r="EF7" t="e">
        <f>AND('Voda,Ogrevanje'!A83,"AAAAAGv13oc=")</f>
        <v>#VALUE!</v>
      </c>
      <c r="EG7" t="e">
        <f>AND('Voda,Ogrevanje'!B83,"AAAAAGv13og=")</f>
        <v>#VALUE!</v>
      </c>
      <c r="EH7" t="e">
        <f>AND('Voda,Ogrevanje'!C83,"AAAAAGv13ok=")</f>
        <v>#VALUE!</v>
      </c>
      <c r="EI7" t="e">
        <f>AND('Voda,Ogrevanje'!D83,"AAAAAGv13oo=")</f>
        <v>#VALUE!</v>
      </c>
      <c r="EJ7" t="e">
        <f>AND('Voda,Ogrevanje'!E83,"AAAAAGv13os=")</f>
        <v>#VALUE!</v>
      </c>
      <c r="EK7" t="e">
        <f>AND('Voda,Ogrevanje'!F83,"AAAAAGv13ow=")</f>
        <v>#VALUE!</v>
      </c>
      <c r="EL7">
        <f>IF('Voda,Ogrevanje'!84:84,"AAAAAGv13o0=",0)</f>
        <v>0</v>
      </c>
      <c r="EM7" t="e">
        <f>AND('Voda,Ogrevanje'!A84,"AAAAAGv13o4=")</f>
        <v>#VALUE!</v>
      </c>
      <c r="EN7" t="e">
        <f>AND('Voda,Ogrevanje'!B84,"AAAAAGv13o8=")</f>
        <v>#VALUE!</v>
      </c>
      <c r="EO7" t="e">
        <f>AND('Voda,Ogrevanje'!C84,"AAAAAGv13pA=")</f>
        <v>#VALUE!</v>
      </c>
      <c r="EP7" t="e">
        <f>AND('Voda,Ogrevanje'!D84,"AAAAAGv13pE=")</f>
        <v>#VALUE!</v>
      </c>
      <c r="EQ7" t="e">
        <f>AND('Voda,Ogrevanje'!E84,"AAAAAGv13pI=")</f>
        <v>#VALUE!</v>
      </c>
      <c r="ER7" t="e">
        <f>AND('Voda,Ogrevanje'!F84,"AAAAAGv13pM=")</f>
        <v>#VALUE!</v>
      </c>
      <c r="ES7">
        <f>IF('Voda,Ogrevanje'!85:85,"AAAAAGv13pQ=",0)</f>
        <v>0</v>
      </c>
      <c r="ET7" t="e">
        <f>AND('Voda,Ogrevanje'!A85,"AAAAAGv13pU=")</f>
        <v>#VALUE!</v>
      </c>
      <c r="EU7" t="e">
        <f>AND('Voda,Ogrevanje'!B85,"AAAAAGv13pY=")</f>
        <v>#VALUE!</v>
      </c>
      <c r="EV7" t="e">
        <f>AND('Voda,Ogrevanje'!C85,"AAAAAGv13pc=")</f>
        <v>#VALUE!</v>
      </c>
      <c r="EW7" t="e">
        <f>AND('Voda,Ogrevanje'!D85,"AAAAAGv13pg=")</f>
        <v>#VALUE!</v>
      </c>
      <c r="EX7" t="e">
        <f>AND('Voda,Ogrevanje'!E85,"AAAAAGv13pk=")</f>
        <v>#VALUE!</v>
      </c>
      <c r="EY7" t="e">
        <f>AND('Voda,Ogrevanje'!F85,"AAAAAGv13po=")</f>
        <v>#VALUE!</v>
      </c>
      <c r="EZ7">
        <f>IF('Voda,Ogrevanje'!86:86,"AAAAAGv13ps=",0)</f>
        <v>0</v>
      </c>
      <c r="FA7" t="e">
        <f>AND('Voda,Ogrevanje'!A86,"AAAAAGv13pw=")</f>
        <v>#VALUE!</v>
      </c>
      <c r="FB7" t="e">
        <f>AND('Voda,Ogrevanje'!B86,"AAAAAGv13p0=")</f>
        <v>#VALUE!</v>
      </c>
      <c r="FC7" t="e">
        <f>AND('Voda,Ogrevanje'!C86,"AAAAAGv13p4=")</f>
        <v>#VALUE!</v>
      </c>
      <c r="FD7" t="e">
        <f>AND('Voda,Ogrevanje'!D86,"AAAAAGv13p8=")</f>
        <v>#VALUE!</v>
      </c>
      <c r="FE7" t="e">
        <f>AND('Voda,Ogrevanje'!E86,"AAAAAGv13qA=")</f>
        <v>#VALUE!</v>
      </c>
      <c r="FF7" t="e">
        <f>AND('Voda,Ogrevanje'!F86,"AAAAAGv13qE=")</f>
        <v>#VALUE!</v>
      </c>
      <c r="FG7">
        <f>IF('Voda,Ogrevanje'!87:87,"AAAAAGv13qI=",0)</f>
        <v>0</v>
      </c>
      <c r="FH7" t="e">
        <f>AND('Voda,Ogrevanje'!A87,"AAAAAGv13qM=")</f>
        <v>#VALUE!</v>
      </c>
      <c r="FI7" t="e">
        <f>AND('Voda,Ogrevanje'!B87,"AAAAAGv13qQ=")</f>
        <v>#VALUE!</v>
      </c>
      <c r="FJ7" t="e">
        <f>AND('Voda,Ogrevanje'!C87,"AAAAAGv13qU=")</f>
        <v>#VALUE!</v>
      </c>
      <c r="FK7" t="e">
        <f>AND('Voda,Ogrevanje'!D87,"AAAAAGv13qY=")</f>
        <v>#VALUE!</v>
      </c>
      <c r="FL7" t="e">
        <f>AND('Voda,Ogrevanje'!E87,"AAAAAGv13qc=")</f>
        <v>#VALUE!</v>
      </c>
      <c r="FM7" t="e">
        <f>AND('Voda,Ogrevanje'!F87,"AAAAAGv13qg=")</f>
        <v>#VALUE!</v>
      </c>
      <c r="FN7">
        <f>IF('Voda,Ogrevanje'!88:88,"AAAAAGv13qk=",0)</f>
        <v>0</v>
      </c>
      <c r="FO7" t="e">
        <f>AND('Voda,Ogrevanje'!A88,"AAAAAGv13qo=")</f>
        <v>#VALUE!</v>
      </c>
      <c r="FP7" t="e">
        <f>AND('Voda,Ogrevanje'!B88,"AAAAAGv13qs=")</f>
        <v>#VALUE!</v>
      </c>
      <c r="FQ7" t="e">
        <f>AND('Voda,Ogrevanje'!C88,"AAAAAGv13qw=")</f>
        <v>#VALUE!</v>
      </c>
      <c r="FR7" t="e">
        <f>AND('Voda,Ogrevanje'!D88,"AAAAAGv13q0=")</f>
        <v>#VALUE!</v>
      </c>
      <c r="FS7" t="e">
        <f>AND('Voda,Ogrevanje'!E88,"AAAAAGv13q4=")</f>
        <v>#VALUE!</v>
      </c>
      <c r="FT7" t="e">
        <f>AND('Voda,Ogrevanje'!F88,"AAAAAGv13q8=")</f>
        <v>#VALUE!</v>
      </c>
      <c r="FU7">
        <f>IF('Voda,Ogrevanje'!89:89,"AAAAAGv13rA=",0)</f>
        <v>0</v>
      </c>
      <c r="FV7" t="e">
        <f>AND('Voda,Ogrevanje'!A89,"AAAAAGv13rE=")</f>
        <v>#VALUE!</v>
      </c>
      <c r="FW7" t="e">
        <f>AND('Voda,Ogrevanje'!B89,"AAAAAGv13rI=")</f>
        <v>#VALUE!</v>
      </c>
      <c r="FX7" t="e">
        <f>AND('Voda,Ogrevanje'!C89,"AAAAAGv13rM=")</f>
        <v>#VALUE!</v>
      </c>
      <c r="FY7" t="e">
        <f>AND('Voda,Ogrevanje'!D89,"AAAAAGv13rQ=")</f>
        <v>#VALUE!</v>
      </c>
      <c r="FZ7" t="e">
        <f>AND('Voda,Ogrevanje'!E89,"AAAAAGv13rU=")</f>
        <v>#VALUE!</v>
      </c>
      <c r="GA7" t="e">
        <f>AND('Voda,Ogrevanje'!F89,"AAAAAGv13rY=")</f>
        <v>#VALUE!</v>
      </c>
      <c r="GB7">
        <f>IF('Voda,Ogrevanje'!90:90,"AAAAAGv13rc=",0)</f>
        <v>0</v>
      </c>
      <c r="GC7" t="e">
        <f>AND('Voda,Ogrevanje'!A90,"AAAAAGv13rg=")</f>
        <v>#VALUE!</v>
      </c>
      <c r="GD7" t="e">
        <f>AND('Voda,Ogrevanje'!B90,"AAAAAGv13rk=")</f>
        <v>#VALUE!</v>
      </c>
      <c r="GE7" t="e">
        <f>AND('Voda,Ogrevanje'!C90,"AAAAAGv13ro=")</f>
        <v>#VALUE!</v>
      </c>
      <c r="GF7" t="e">
        <f>AND('Voda,Ogrevanje'!D90,"AAAAAGv13rs=")</f>
        <v>#VALUE!</v>
      </c>
      <c r="GG7" t="e">
        <f>AND('Voda,Ogrevanje'!E90,"AAAAAGv13rw=")</f>
        <v>#VALUE!</v>
      </c>
      <c r="GH7" t="e">
        <f>AND('Voda,Ogrevanje'!F90,"AAAAAGv13r0=")</f>
        <v>#VALUE!</v>
      </c>
      <c r="GI7">
        <f>IF('Voda,Ogrevanje'!91:91,"AAAAAGv13r4=",0)</f>
        <v>0</v>
      </c>
      <c r="GJ7" t="e">
        <f>AND('Voda,Ogrevanje'!A91,"AAAAAGv13r8=")</f>
        <v>#VALUE!</v>
      </c>
      <c r="GK7" t="e">
        <f>AND('Voda,Ogrevanje'!B91,"AAAAAGv13sA=")</f>
        <v>#VALUE!</v>
      </c>
      <c r="GL7" t="e">
        <f>AND('Voda,Ogrevanje'!C91,"AAAAAGv13sE=")</f>
        <v>#VALUE!</v>
      </c>
      <c r="GM7" t="e">
        <f>AND('Voda,Ogrevanje'!D91,"AAAAAGv13sI=")</f>
        <v>#VALUE!</v>
      </c>
      <c r="GN7" t="e">
        <f>AND('Voda,Ogrevanje'!E91,"AAAAAGv13sM=")</f>
        <v>#VALUE!</v>
      </c>
      <c r="GO7" t="e">
        <f>AND('Voda,Ogrevanje'!F91,"AAAAAGv13sQ=")</f>
        <v>#VALUE!</v>
      </c>
      <c r="GP7">
        <f>IF('Voda,Ogrevanje'!92:92,"AAAAAGv13sU=",0)</f>
        <v>0</v>
      </c>
      <c r="GQ7" t="e">
        <f>AND('Voda,Ogrevanje'!A92,"AAAAAGv13sY=")</f>
        <v>#VALUE!</v>
      </c>
      <c r="GR7" t="e">
        <f>AND('Voda,Ogrevanje'!B92,"AAAAAGv13sc=")</f>
        <v>#VALUE!</v>
      </c>
      <c r="GS7" t="e">
        <f>AND('Voda,Ogrevanje'!C92,"AAAAAGv13sg=")</f>
        <v>#VALUE!</v>
      </c>
      <c r="GT7" t="e">
        <f>AND('Voda,Ogrevanje'!D92,"AAAAAGv13sk=")</f>
        <v>#VALUE!</v>
      </c>
      <c r="GU7" t="e">
        <f>AND('Voda,Ogrevanje'!E92,"AAAAAGv13so=")</f>
        <v>#VALUE!</v>
      </c>
      <c r="GV7" t="e">
        <f>AND('Voda,Ogrevanje'!F92,"AAAAAGv13ss=")</f>
        <v>#VALUE!</v>
      </c>
      <c r="GW7">
        <f>IF('Voda,Ogrevanje'!93:93,"AAAAAGv13sw=",0)</f>
        <v>0</v>
      </c>
      <c r="GX7" t="e">
        <f>AND('Voda,Ogrevanje'!A93,"AAAAAGv13s0=")</f>
        <v>#VALUE!</v>
      </c>
      <c r="GY7" t="e">
        <f>AND('Voda,Ogrevanje'!B93,"AAAAAGv13s4=")</f>
        <v>#VALUE!</v>
      </c>
      <c r="GZ7" t="e">
        <f>AND('Voda,Ogrevanje'!C93,"AAAAAGv13s8=")</f>
        <v>#VALUE!</v>
      </c>
      <c r="HA7" t="e">
        <f>AND('Voda,Ogrevanje'!D93,"AAAAAGv13tA=")</f>
        <v>#VALUE!</v>
      </c>
      <c r="HB7" t="e">
        <f>AND('Voda,Ogrevanje'!E93,"AAAAAGv13tE=")</f>
        <v>#VALUE!</v>
      </c>
      <c r="HC7" t="e">
        <f>AND('Voda,Ogrevanje'!F93,"AAAAAGv13tI=")</f>
        <v>#VALUE!</v>
      </c>
      <c r="HD7">
        <f>IF('Voda,Ogrevanje'!94:94,"AAAAAGv13tM=",0)</f>
        <v>0</v>
      </c>
      <c r="HE7" t="e">
        <f>AND('Voda,Ogrevanje'!A94,"AAAAAGv13tQ=")</f>
        <v>#VALUE!</v>
      </c>
      <c r="HF7" t="e">
        <f>AND('Voda,Ogrevanje'!B94,"AAAAAGv13tU=")</f>
        <v>#VALUE!</v>
      </c>
      <c r="HG7" t="e">
        <f>AND('Voda,Ogrevanje'!C94,"AAAAAGv13tY=")</f>
        <v>#VALUE!</v>
      </c>
      <c r="HH7" t="e">
        <f>AND('Voda,Ogrevanje'!D94,"AAAAAGv13tc=")</f>
        <v>#VALUE!</v>
      </c>
      <c r="HI7" t="e">
        <f>AND('Voda,Ogrevanje'!E94,"AAAAAGv13tg=")</f>
        <v>#VALUE!</v>
      </c>
      <c r="HJ7" t="e">
        <f>AND('Voda,Ogrevanje'!F94,"AAAAAGv13tk=")</f>
        <v>#VALUE!</v>
      </c>
      <c r="HK7">
        <f>IF('Voda,Ogrevanje'!95:95,"AAAAAGv13to=",0)</f>
        <v>0</v>
      </c>
      <c r="HL7" t="e">
        <f>AND('Voda,Ogrevanje'!A95,"AAAAAGv13ts=")</f>
        <v>#VALUE!</v>
      </c>
      <c r="HM7" t="e">
        <f>AND('Voda,Ogrevanje'!B95,"AAAAAGv13tw=")</f>
        <v>#VALUE!</v>
      </c>
      <c r="HN7" t="e">
        <f>AND('Voda,Ogrevanje'!C95,"AAAAAGv13t0=")</f>
        <v>#VALUE!</v>
      </c>
      <c r="HO7" t="e">
        <f>AND('Voda,Ogrevanje'!D95,"AAAAAGv13t4=")</f>
        <v>#VALUE!</v>
      </c>
      <c r="HP7" t="e">
        <f>AND('Voda,Ogrevanje'!E95,"AAAAAGv13t8=")</f>
        <v>#VALUE!</v>
      </c>
      <c r="HQ7" t="e">
        <f>AND('Voda,Ogrevanje'!F95,"AAAAAGv13uA=")</f>
        <v>#VALUE!</v>
      </c>
      <c r="HR7">
        <f>IF('Voda,Ogrevanje'!96:96,"AAAAAGv13uE=",0)</f>
        <v>0</v>
      </c>
      <c r="HS7" t="e">
        <f>AND('Voda,Ogrevanje'!A96,"AAAAAGv13uI=")</f>
        <v>#VALUE!</v>
      </c>
      <c r="HT7" t="e">
        <f>AND('Voda,Ogrevanje'!B96,"AAAAAGv13uM=")</f>
        <v>#VALUE!</v>
      </c>
      <c r="HU7" t="e">
        <f>AND('Voda,Ogrevanje'!C96,"AAAAAGv13uQ=")</f>
        <v>#VALUE!</v>
      </c>
      <c r="HV7" t="e">
        <f>AND('Voda,Ogrevanje'!D96,"AAAAAGv13uU=")</f>
        <v>#VALUE!</v>
      </c>
      <c r="HW7" t="e">
        <f>AND('Voda,Ogrevanje'!E96,"AAAAAGv13uY=")</f>
        <v>#VALUE!</v>
      </c>
      <c r="HX7" t="e">
        <f>AND('Voda,Ogrevanje'!F96,"AAAAAGv13uc=")</f>
        <v>#VALUE!</v>
      </c>
      <c r="HY7">
        <f>IF('Voda,Ogrevanje'!97:97,"AAAAAGv13ug=",0)</f>
        <v>0</v>
      </c>
      <c r="HZ7" t="e">
        <f>AND('Voda,Ogrevanje'!A97,"AAAAAGv13uk=")</f>
        <v>#VALUE!</v>
      </c>
      <c r="IA7" t="e">
        <f>AND('Voda,Ogrevanje'!B97,"AAAAAGv13uo=")</f>
        <v>#VALUE!</v>
      </c>
      <c r="IB7" t="e">
        <f>AND('Voda,Ogrevanje'!C97,"AAAAAGv13us=")</f>
        <v>#VALUE!</v>
      </c>
      <c r="IC7" t="e">
        <f>AND('Voda,Ogrevanje'!D97,"AAAAAGv13uw=")</f>
        <v>#VALUE!</v>
      </c>
      <c r="ID7" t="e">
        <f>AND('Voda,Ogrevanje'!E97,"AAAAAGv13u0=")</f>
        <v>#VALUE!</v>
      </c>
      <c r="IE7" t="e">
        <f>AND('Voda,Ogrevanje'!F97,"AAAAAGv13u4=")</f>
        <v>#VALUE!</v>
      </c>
      <c r="IF7">
        <f>IF('Voda,Ogrevanje'!98:98,"AAAAAGv13u8=",0)</f>
        <v>0</v>
      </c>
      <c r="IG7" t="e">
        <f>AND('Voda,Ogrevanje'!A98,"AAAAAGv13vA=")</f>
        <v>#VALUE!</v>
      </c>
      <c r="IH7" t="e">
        <f>AND('Voda,Ogrevanje'!B98,"AAAAAGv13vE=")</f>
        <v>#VALUE!</v>
      </c>
      <c r="II7" t="e">
        <f>AND('Voda,Ogrevanje'!C98,"AAAAAGv13vI=")</f>
        <v>#VALUE!</v>
      </c>
      <c r="IJ7" t="e">
        <f>AND('Voda,Ogrevanje'!D98,"AAAAAGv13vM=")</f>
        <v>#VALUE!</v>
      </c>
      <c r="IK7" t="e">
        <f>AND('Voda,Ogrevanje'!E98,"AAAAAGv13vQ=")</f>
        <v>#VALUE!</v>
      </c>
      <c r="IL7" t="e">
        <f>AND('Voda,Ogrevanje'!F98,"AAAAAGv13vU=")</f>
        <v>#VALUE!</v>
      </c>
      <c r="IM7">
        <f>IF('Voda,Ogrevanje'!99:99,"AAAAAGv13vY=",0)</f>
        <v>0</v>
      </c>
      <c r="IN7" t="e">
        <f>AND('Voda,Ogrevanje'!A99,"AAAAAGv13vc=")</f>
        <v>#VALUE!</v>
      </c>
      <c r="IO7" t="e">
        <f>AND('Voda,Ogrevanje'!B99,"AAAAAGv13vg=")</f>
        <v>#VALUE!</v>
      </c>
      <c r="IP7" t="e">
        <f>AND('Voda,Ogrevanje'!C99,"AAAAAGv13vk=")</f>
        <v>#VALUE!</v>
      </c>
      <c r="IQ7" t="e">
        <f>AND('Voda,Ogrevanje'!D99,"AAAAAGv13vo=")</f>
        <v>#VALUE!</v>
      </c>
      <c r="IR7" t="e">
        <f>AND('Voda,Ogrevanje'!E99,"AAAAAGv13vs=")</f>
        <v>#VALUE!</v>
      </c>
      <c r="IS7" t="e">
        <f>AND('Voda,Ogrevanje'!F99,"AAAAAGv13vw=")</f>
        <v>#VALUE!</v>
      </c>
      <c r="IT7">
        <f>IF('Voda,Ogrevanje'!100:100,"AAAAAGv13v0=",0)</f>
        <v>0</v>
      </c>
      <c r="IU7" t="e">
        <f>AND('Voda,Ogrevanje'!A100,"AAAAAGv13v4=")</f>
        <v>#VALUE!</v>
      </c>
      <c r="IV7" t="e">
        <f>AND('Voda,Ogrevanje'!B100,"AAAAAGv13v8=")</f>
        <v>#VALUE!</v>
      </c>
    </row>
    <row r="8" spans="1:256" ht="12.75">
      <c r="A8" t="e">
        <f>AND('Voda,Ogrevanje'!C100,"AAAAAB9r9QA=")</f>
        <v>#VALUE!</v>
      </c>
      <c r="B8" t="e">
        <f>AND('Voda,Ogrevanje'!D100,"AAAAAB9r9QE=")</f>
        <v>#VALUE!</v>
      </c>
      <c r="C8" t="e">
        <f>AND('Voda,Ogrevanje'!E100,"AAAAAB9r9QI=")</f>
        <v>#VALUE!</v>
      </c>
      <c r="D8" t="e">
        <f>AND('Voda,Ogrevanje'!F100,"AAAAAB9r9QM=")</f>
        <v>#VALUE!</v>
      </c>
      <c r="E8">
        <f>IF('Voda,Ogrevanje'!101:101,"AAAAAB9r9QQ=",0)</f>
        <v>0</v>
      </c>
      <c r="F8" t="e">
        <f>AND('Voda,Ogrevanje'!A101,"AAAAAB9r9QU=")</f>
        <v>#VALUE!</v>
      </c>
      <c r="G8" t="e">
        <f>AND('Voda,Ogrevanje'!B101,"AAAAAB9r9QY=")</f>
        <v>#VALUE!</v>
      </c>
      <c r="H8" t="e">
        <f>AND('Voda,Ogrevanje'!C101,"AAAAAB9r9Qc=")</f>
        <v>#VALUE!</v>
      </c>
      <c r="I8" t="e">
        <f>AND('Voda,Ogrevanje'!D101,"AAAAAB9r9Qg=")</f>
        <v>#VALUE!</v>
      </c>
      <c r="J8" t="e">
        <f>AND('Voda,Ogrevanje'!E101,"AAAAAB9r9Qk=")</f>
        <v>#VALUE!</v>
      </c>
      <c r="K8" t="e">
        <f>AND('Voda,Ogrevanje'!F101,"AAAAAB9r9Qo=")</f>
        <v>#VALUE!</v>
      </c>
      <c r="L8">
        <f>IF('Voda,Ogrevanje'!102:102,"AAAAAB9r9Qs=",0)</f>
        <v>0</v>
      </c>
      <c r="M8" t="e">
        <f>AND('Voda,Ogrevanje'!A102,"AAAAAB9r9Qw=")</f>
        <v>#VALUE!</v>
      </c>
      <c r="N8" t="e">
        <f>AND('Voda,Ogrevanje'!B102,"AAAAAB9r9Q0=")</f>
        <v>#VALUE!</v>
      </c>
      <c r="O8" t="e">
        <f>AND('Voda,Ogrevanje'!C102,"AAAAAB9r9Q4=")</f>
        <v>#VALUE!</v>
      </c>
      <c r="P8" t="e">
        <f>AND('Voda,Ogrevanje'!D102,"AAAAAB9r9Q8=")</f>
        <v>#VALUE!</v>
      </c>
      <c r="Q8" t="e">
        <f>AND('Voda,Ogrevanje'!E102,"AAAAAB9r9RA=")</f>
        <v>#VALUE!</v>
      </c>
      <c r="R8" t="e">
        <f>AND('Voda,Ogrevanje'!F102,"AAAAAB9r9RE=")</f>
        <v>#VALUE!</v>
      </c>
      <c r="S8" t="e">
        <f>IF('Voda,Ogrevanje'!#REF!,"AAAAAB9r9RI=",0)</f>
        <v>#REF!</v>
      </c>
      <c r="T8" t="e">
        <f>AND('Voda,Ogrevanje'!#REF!,"AAAAAB9r9RM=")</f>
        <v>#REF!</v>
      </c>
      <c r="U8" t="e">
        <f>AND('Voda,Ogrevanje'!#REF!,"AAAAAB9r9RQ=")</f>
        <v>#REF!</v>
      </c>
      <c r="V8" t="e">
        <f>AND('Voda,Ogrevanje'!#REF!,"AAAAAB9r9RU=")</f>
        <v>#REF!</v>
      </c>
      <c r="W8" t="e">
        <f>AND('Voda,Ogrevanje'!#REF!,"AAAAAB9r9RY=")</f>
        <v>#REF!</v>
      </c>
      <c r="X8" t="e">
        <f>AND('Voda,Ogrevanje'!#REF!,"AAAAAB9r9Rc=")</f>
        <v>#REF!</v>
      </c>
      <c r="Y8" t="e">
        <f>AND('Voda,Ogrevanje'!#REF!,"AAAAAB9r9Rg=")</f>
        <v>#REF!</v>
      </c>
      <c r="Z8" t="e">
        <f>IF('Voda,Ogrevanje'!#REF!,"AAAAAB9r9Rk=",0)</f>
        <v>#REF!</v>
      </c>
      <c r="AA8" t="e">
        <f>AND('Voda,Ogrevanje'!#REF!,"AAAAAB9r9Ro=")</f>
        <v>#REF!</v>
      </c>
      <c r="AB8" t="e">
        <f>AND('Voda,Ogrevanje'!#REF!,"AAAAAB9r9Rs=")</f>
        <v>#REF!</v>
      </c>
      <c r="AC8" t="e">
        <f>AND('Voda,Ogrevanje'!#REF!,"AAAAAB9r9Rw=")</f>
        <v>#REF!</v>
      </c>
      <c r="AD8" t="e">
        <f>AND('Voda,Ogrevanje'!#REF!,"AAAAAB9r9R0=")</f>
        <v>#REF!</v>
      </c>
      <c r="AE8" t="e">
        <f>AND('Voda,Ogrevanje'!#REF!,"AAAAAB9r9R4=")</f>
        <v>#REF!</v>
      </c>
      <c r="AF8" t="e">
        <f>AND('Voda,Ogrevanje'!#REF!,"AAAAAB9r9R8=")</f>
        <v>#REF!</v>
      </c>
      <c r="AG8" t="e">
        <f>IF('Voda,Ogrevanje'!#REF!,"AAAAAB9r9SA=",0)</f>
        <v>#REF!</v>
      </c>
      <c r="AH8" t="e">
        <f>AND('Voda,Ogrevanje'!#REF!,"AAAAAB9r9SE=")</f>
        <v>#REF!</v>
      </c>
      <c r="AI8" t="e">
        <f>AND('Voda,Ogrevanje'!#REF!,"AAAAAB9r9SI=")</f>
        <v>#REF!</v>
      </c>
      <c r="AJ8" t="e">
        <f>AND('Voda,Ogrevanje'!#REF!,"AAAAAB9r9SM=")</f>
        <v>#REF!</v>
      </c>
      <c r="AK8" t="e">
        <f>AND('Voda,Ogrevanje'!#REF!,"AAAAAB9r9SQ=")</f>
        <v>#REF!</v>
      </c>
      <c r="AL8" t="e">
        <f>AND('Voda,Ogrevanje'!#REF!,"AAAAAB9r9SU=")</f>
        <v>#REF!</v>
      </c>
      <c r="AM8" t="e">
        <f>AND('Voda,Ogrevanje'!#REF!,"AAAAAB9r9SY=")</f>
        <v>#REF!</v>
      </c>
      <c r="AN8" t="e">
        <f>IF('Voda,Ogrevanje'!#REF!,"AAAAAB9r9Sc=",0)</f>
        <v>#REF!</v>
      </c>
      <c r="AO8" t="e">
        <f>AND('Voda,Ogrevanje'!#REF!,"AAAAAB9r9Sg=")</f>
        <v>#REF!</v>
      </c>
      <c r="AP8" t="e">
        <f>AND('Voda,Ogrevanje'!#REF!,"AAAAAB9r9Sk=")</f>
        <v>#REF!</v>
      </c>
      <c r="AQ8" t="e">
        <f>AND('Voda,Ogrevanje'!#REF!,"AAAAAB9r9So=")</f>
        <v>#REF!</v>
      </c>
      <c r="AR8" t="e">
        <f>AND('Voda,Ogrevanje'!#REF!,"AAAAAB9r9Ss=")</f>
        <v>#REF!</v>
      </c>
      <c r="AS8" t="e">
        <f>AND('Voda,Ogrevanje'!#REF!,"AAAAAB9r9Sw=")</f>
        <v>#REF!</v>
      </c>
      <c r="AT8" t="e">
        <f>AND('Voda,Ogrevanje'!#REF!,"AAAAAB9r9S0=")</f>
        <v>#REF!</v>
      </c>
      <c r="AU8" t="e">
        <f>IF('Voda,Ogrevanje'!#REF!,"AAAAAB9r9S4=",0)</f>
        <v>#REF!</v>
      </c>
      <c r="AV8" t="e">
        <f>AND('Voda,Ogrevanje'!#REF!,"AAAAAB9r9S8=")</f>
        <v>#REF!</v>
      </c>
      <c r="AW8" t="e">
        <f>AND('Voda,Ogrevanje'!#REF!,"AAAAAB9r9TA=")</f>
        <v>#REF!</v>
      </c>
      <c r="AX8" t="e">
        <f>AND('Voda,Ogrevanje'!#REF!,"AAAAAB9r9TE=")</f>
        <v>#REF!</v>
      </c>
      <c r="AY8" t="e">
        <f>AND('Voda,Ogrevanje'!#REF!,"AAAAAB9r9TI=")</f>
        <v>#REF!</v>
      </c>
      <c r="AZ8" t="e">
        <f>AND('Voda,Ogrevanje'!#REF!,"AAAAAB9r9TM=")</f>
        <v>#REF!</v>
      </c>
      <c r="BA8" t="e">
        <f>AND('Voda,Ogrevanje'!#REF!,"AAAAAB9r9TQ=")</f>
        <v>#REF!</v>
      </c>
      <c r="BB8" t="e">
        <f>IF('Voda,Ogrevanje'!#REF!,"AAAAAB9r9TU=",0)</f>
        <v>#REF!</v>
      </c>
      <c r="BC8" t="e">
        <f>AND('Voda,Ogrevanje'!#REF!,"AAAAAB9r9TY=")</f>
        <v>#REF!</v>
      </c>
      <c r="BD8" t="e">
        <f>AND('Voda,Ogrevanje'!#REF!,"AAAAAB9r9Tc=")</f>
        <v>#REF!</v>
      </c>
      <c r="BE8" t="e">
        <f>AND('Voda,Ogrevanje'!#REF!,"AAAAAB9r9Tg=")</f>
        <v>#REF!</v>
      </c>
      <c r="BF8" t="e">
        <f>AND('Voda,Ogrevanje'!#REF!,"AAAAAB9r9Tk=")</f>
        <v>#REF!</v>
      </c>
      <c r="BG8" t="e">
        <f>AND('Voda,Ogrevanje'!#REF!,"AAAAAB9r9To=")</f>
        <v>#REF!</v>
      </c>
      <c r="BH8" t="e">
        <f>AND('Voda,Ogrevanje'!#REF!,"AAAAAB9r9Ts=")</f>
        <v>#REF!</v>
      </c>
      <c r="BI8" t="e">
        <f>IF('Voda,Ogrevanje'!#REF!,"AAAAAB9r9Tw=",0)</f>
        <v>#REF!</v>
      </c>
      <c r="BJ8" t="e">
        <f>AND('Voda,Ogrevanje'!#REF!,"AAAAAB9r9T0=")</f>
        <v>#REF!</v>
      </c>
      <c r="BK8" t="e">
        <f>AND('Voda,Ogrevanje'!#REF!,"AAAAAB9r9T4=")</f>
        <v>#REF!</v>
      </c>
      <c r="BL8" t="e">
        <f>AND('Voda,Ogrevanje'!#REF!,"AAAAAB9r9T8=")</f>
        <v>#REF!</v>
      </c>
      <c r="BM8" t="e">
        <f>AND('Voda,Ogrevanje'!#REF!,"AAAAAB9r9UA=")</f>
        <v>#REF!</v>
      </c>
      <c r="BN8" t="e">
        <f>AND('Voda,Ogrevanje'!#REF!,"AAAAAB9r9UE=")</f>
        <v>#REF!</v>
      </c>
      <c r="BO8" t="e">
        <f>AND('Voda,Ogrevanje'!#REF!,"AAAAAB9r9UI=")</f>
        <v>#REF!</v>
      </c>
      <c r="BP8">
        <f>IF('Voda,Ogrevanje'!103:103,"AAAAAB9r9UM=",0)</f>
        <v>0</v>
      </c>
      <c r="BQ8" t="e">
        <f>AND('Voda,Ogrevanje'!A103,"AAAAAB9r9UQ=")</f>
        <v>#VALUE!</v>
      </c>
      <c r="BR8" t="e">
        <f>AND('Voda,Ogrevanje'!B103,"AAAAAB9r9UU=")</f>
        <v>#VALUE!</v>
      </c>
      <c r="BS8" t="e">
        <f>AND('Voda,Ogrevanje'!C103,"AAAAAB9r9UY=")</f>
        <v>#VALUE!</v>
      </c>
      <c r="BT8" t="e">
        <f>AND('Voda,Ogrevanje'!D103,"AAAAAB9r9Uc=")</f>
        <v>#VALUE!</v>
      </c>
      <c r="BU8" t="e">
        <f>AND('Voda,Ogrevanje'!E103,"AAAAAB9r9Ug=")</f>
        <v>#VALUE!</v>
      </c>
      <c r="BV8" t="e">
        <f>AND('Voda,Ogrevanje'!F103,"AAAAAB9r9Uk=")</f>
        <v>#VALUE!</v>
      </c>
      <c r="BW8">
        <f>IF('Voda,Ogrevanje'!104:104,"AAAAAB9r9Uo=",0)</f>
        <v>0</v>
      </c>
      <c r="BX8" t="e">
        <f>AND('Voda,Ogrevanje'!A104,"AAAAAB9r9Us=")</f>
        <v>#VALUE!</v>
      </c>
      <c r="BY8" t="e">
        <f>AND('Voda,Ogrevanje'!B104,"AAAAAB9r9Uw=")</f>
        <v>#VALUE!</v>
      </c>
      <c r="BZ8" t="e">
        <f>AND('Voda,Ogrevanje'!C104,"AAAAAB9r9U0=")</f>
        <v>#VALUE!</v>
      </c>
      <c r="CA8" t="e">
        <f>AND('Voda,Ogrevanje'!D104,"AAAAAB9r9U4=")</f>
        <v>#VALUE!</v>
      </c>
      <c r="CB8" t="e">
        <f>AND('Voda,Ogrevanje'!E104,"AAAAAB9r9U8=")</f>
        <v>#VALUE!</v>
      </c>
      <c r="CC8" t="e">
        <f>AND('Voda,Ogrevanje'!F104,"AAAAAB9r9VA=")</f>
        <v>#VALUE!</v>
      </c>
      <c r="CD8">
        <f>IF('Voda,Ogrevanje'!105:105,"AAAAAB9r9VE=",0)</f>
        <v>0</v>
      </c>
      <c r="CE8" t="e">
        <f>AND('Voda,Ogrevanje'!A105,"AAAAAB9r9VI=")</f>
        <v>#VALUE!</v>
      </c>
      <c r="CF8" t="e">
        <f>AND('Voda,Ogrevanje'!B105,"AAAAAB9r9VM=")</f>
        <v>#VALUE!</v>
      </c>
      <c r="CG8" t="e">
        <f>AND('Voda,Ogrevanje'!C105,"AAAAAB9r9VQ=")</f>
        <v>#VALUE!</v>
      </c>
      <c r="CH8" t="e">
        <f>AND('Voda,Ogrevanje'!D105,"AAAAAB9r9VU=")</f>
        <v>#VALUE!</v>
      </c>
      <c r="CI8" t="e">
        <f>AND('Voda,Ogrevanje'!E105,"AAAAAB9r9VY=")</f>
        <v>#VALUE!</v>
      </c>
      <c r="CJ8" t="e">
        <f>AND('Voda,Ogrevanje'!F105,"AAAAAB9r9Vc=")</f>
        <v>#VALUE!</v>
      </c>
      <c r="CK8">
        <f>IF('Voda,Ogrevanje'!106:106,"AAAAAB9r9Vg=",0)</f>
        <v>0</v>
      </c>
      <c r="CL8">
        <f>IF('Voda,Ogrevanje'!107:107,"AAAAAB9r9Vk=",0)</f>
        <v>0</v>
      </c>
      <c r="CM8">
        <f>IF('Voda,Ogrevanje'!A:A,"AAAAAB9r9Vo=",0)</f>
        <v>0</v>
      </c>
      <c r="CN8">
        <f>IF('Voda,Ogrevanje'!B:B,"AAAAAB9r9Vs=",0)</f>
        <v>0</v>
      </c>
      <c r="CO8">
        <f>IF('Voda,Ogrevanje'!C:C,"AAAAAB9r9Vw=",0)</f>
        <v>0</v>
      </c>
      <c r="CP8">
        <f>IF('Voda,Ogrevanje'!D:D,"AAAAAB9r9V0=",0)</f>
        <v>0</v>
      </c>
      <c r="CQ8">
        <f>IF('Voda,Ogrevanje'!E:E,"AAAAAB9r9V4=",0)</f>
        <v>0</v>
      </c>
      <c r="CR8">
        <f>IF('Voda,Ogrevanje'!F:F,"AAAAAB9r9V8=",0)</f>
        <v>0</v>
      </c>
      <c r="CS8">
        <f>IF('Termostatski ventili'!1:1,"AAAAAB9r9WA=",0)</f>
        <v>0</v>
      </c>
      <c r="CT8" t="e">
        <f>AND('Termostatski ventili'!A1,"AAAAAB9r9WE=")</f>
        <v>#VALUE!</v>
      </c>
      <c r="CU8" t="e">
        <f>AND('Termostatski ventili'!B1,"AAAAAB9r9WI=")</f>
        <v>#VALUE!</v>
      </c>
      <c r="CV8" t="e">
        <f>AND('Termostatski ventili'!C1,"AAAAAB9r9WM=")</f>
        <v>#VALUE!</v>
      </c>
      <c r="CW8" t="e">
        <f>AND('Termostatski ventili'!D1,"AAAAAB9r9WQ=")</f>
        <v>#VALUE!</v>
      </c>
      <c r="CX8" t="e">
        <f>AND('Termostatski ventili'!E1,"AAAAAB9r9WU=")</f>
        <v>#VALUE!</v>
      </c>
      <c r="CY8" t="e">
        <f>AND('Termostatski ventili'!F1,"AAAAAB9r9WY=")</f>
        <v>#VALUE!</v>
      </c>
      <c r="CZ8">
        <f>IF('Termostatski ventili'!2:2,"AAAAAB9r9Wc=",0)</f>
        <v>0</v>
      </c>
      <c r="DA8" t="e">
        <f>AND('Termostatski ventili'!A2,"AAAAAB9r9Wg=")</f>
        <v>#VALUE!</v>
      </c>
      <c r="DB8" t="e">
        <f>AND('Termostatski ventili'!B2,"AAAAAB9r9Wk=")</f>
        <v>#VALUE!</v>
      </c>
      <c r="DC8" t="e">
        <f>AND('Termostatski ventili'!C2,"AAAAAB9r9Wo=")</f>
        <v>#VALUE!</v>
      </c>
      <c r="DD8" t="e">
        <f>AND('Termostatski ventili'!D2,"AAAAAB9r9Ws=")</f>
        <v>#VALUE!</v>
      </c>
      <c r="DE8" t="e">
        <f>AND('Termostatski ventili'!E2,"AAAAAB9r9Ww=")</f>
        <v>#VALUE!</v>
      </c>
      <c r="DF8" t="e">
        <f>AND('Termostatski ventili'!F2,"AAAAAB9r9W0=")</f>
        <v>#VALUE!</v>
      </c>
      <c r="DG8">
        <f>IF('Termostatski ventili'!3:3,"AAAAAB9r9W4=",0)</f>
        <v>0</v>
      </c>
      <c r="DH8" t="e">
        <f>AND('Termostatski ventili'!A3,"AAAAAB9r9W8=")</f>
        <v>#VALUE!</v>
      </c>
      <c r="DI8" t="e">
        <f>AND('Termostatski ventili'!B3,"AAAAAB9r9XA=")</f>
        <v>#VALUE!</v>
      </c>
      <c r="DJ8" t="e">
        <f>AND('Termostatski ventili'!C3,"AAAAAB9r9XE=")</f>
        <v>#VALUE!</v>
      </c>
      <c r="DK8" t="e">
        <f>AND('Termostatski ventili'!D3,"AAAAAB9r9XI=")</f>
        <v>#VALUE!</v>
      </c>
      <c r="DL8" t="e">
        <f>AND('Termostatski ventili'!E3,"AAAAAB9r9XM=")</f>
        <v>#VALUE!</v>
      </c>
      <c r="DM8" t="e">
        <f>AND('Termostatski ventili'!F3,"AAAAAB9r9XQ=")</f>
        <v>#VALUE!</v>
      </c>
      <c r="DN8">
        <f>IF('Termostatski ventili'!4:4,"AAAAAB9r9XU=",0)</f>
        <v>0</v>
      </c>
      <c r="DO8" t="e">
        <f>AND('Termostatski ventili'!A4,"AAAAAB9r9XY=")</f>
        <v>#VALUE!</v>
      </c>
      <c r="DP8" t="e">
        <f>AND('Termostatski ventili'!B4,"AAAAAB9r9Xc=")</f>
        <v>#VALUE!</v>
      </c>
      <c r="DQ8" t="e">
        <f>AND('Termostatski ventili'!C4,"AAAAAB9r9Xg=")</f>
        <v>#VALUE!</v>
      </c>
      <c r="DR8" t="e">
        <f>AND('Termostatski ventili'!D4,"AAAAAB9r9Xk=")</f>
        <v>#VALUE!</v>
      </c>
      <c r="DS8" t="e">
        <f>AND('Termostatski ventili'!E4,"AAAAAB9r9Xo=")</f>
        <v>#VALUE!</v>
      </c>
      <c r="DT8" t="e">
        <f>AND('Termostatski ventili'!F4,"AAAAAB9r9Xs=")</f>
        <v>#VALUE!</v>
      </c>
      <c r="DU8">
        <f>IF('Termostatski ventili'!5:5,"AAAAAB9r9Xw=",0)</f>
        <v>0</v>
      </c>
      <c r="DV8" t="e">
        <f>AND('Termostatski ventili'!A5,"AAAAAB9r9X0=")</f>
        <v>#VALUE!</v>
      </c>
      <c r="DW8" t="e">
        <f>AND('Termostatski ventili'!B5,"AAAAAB9r9X4=")</f>
        <v>#VALUE!</v>
      </c>
      <c r="DX8" t="e">
        <f>AND('Termostatski ventili'!C5,"AAAAAB9r9X8=")</f>
        <v>#VALUE!</v>
      </c>
      <c r="DY8" t="e">
        <f>AND('Termostatski ventili'!D5,"AAAAAB9r9YA=")</f>
        <v>#VALUE!</v>
      </c>
      <c r="DZ8" t="e">
        <f>AND('Termostatski ventili'!E5,"AAAAAB9r9YE=")</f>
        <v>#VALUE!</v>
      </c>
      <c r="EA8" t="e">
        <f>AND('Termostatski ventili'!F5,"AAAAAB9r9YI=")</f>
        <v>#VALUE!</v>
      </c>
      <c r="EB8">
        <f>IF('Termostatski ventili'!6:6,"AAAAAB9r9YM=",0)</f>
        <v>0</v>
      </c>
      <c r="EC8" t="e">
        <f>AND('Termostatski ventili'!A6,"AAAAAB9r9YQ=")</f>
        <v>#VALUE!</v>
      </c>
      <c r="ED8" t="e">
        <f>AND('Termostatski ventili'!B6,"AAAAAB9r9YU=")</f>
        <v>#VALUE!</v>
      </c>
      <c r="EE8" t="e">
        <f>AND('Termostatski ventili'!C6,"AAAAAB9r9YY=")</f>
        <v>#VALUE!</v>
      </c>
      <c r="EF8" t="e">
        <f>AND('Termostatski ventili'!D6,"AAAAAB9r9Yc=")</f>
        <v>#VALUE!</v>
      </c>
      <c r="EG8" t="e">
        <f>AND('Termostatski ventili'!E6,"AAAAAB9r9Yg=")</f>
        <v>#VALUE!</v>
      </c>
      <c r="EH8" t="e">
        <f>AND('Termostatski ventili'!F6,"AAAAAB9r9Yk=")</f>
        <v>#VALUE!</v>
      </c>
      <c r="EI8">
        <f>IF('Termostatski ventili'!7:7,"AAAAAB9r9Yo=",0)</f>
        <v>0</v>
      </c>
      <c r="EJ8" t="e">
        <f>AND('Termostatski ventili'!A7,"AAAAAB9r9Ys=")</f>
        <v>#VALUE!</v>
      </c>
      <c r="EK8" t="e">
        <f>AND('Termostatski ventili'!B7,"AAAAAB9r9Yw=")</f>
        <v>#VALUE!</v>
      </c>
      <c r="EL8" t="e">
        <f>AND('Termostatski ventili'!C7,"AAAAAB9r9Y0=")</f>
        <v>#VALUE!</v>
      </c>
      <c r="EM8" t="e">
        <f>AND('Termostatski ventili'!D7,"AAAAAB9r9Y4=")</f>
        <v>#VALUE!</v>
      </c>
      <c r="EN8" t="e">
        <f>AND('Termostatski ventili'!E7,"AAAAAB9r9Y8=")</f>
        <v>#VALUE!</v>
      </c>
      <c r="EO8" t="e">
        <f>AND('Termostatski ventili'!F7,"AAAAAB9r9ZA=")</f>
        <v>#VALUE!</v>
      </c>
      <c r="EP8">
        <f>IF('Termostatski ventili'!8:8,"AAAAAB9r9ZE=",0)</f>
        <v>0</v>
      </c>
      <c r="EQ8" t="e">
        <f>AND('Termostatski ventili'!A8,"AAAAAB9r9ZI=")</f>
        <v>#VALUE!</v>
      </c>
      <c r="ER8" t="e">
        <f>AND('Termostatski ventili'!B8,"AAAAAB9r9ZM=")</f>
        <v>#VALUE!</v>
      </c>
      <c r="ES8" t="e">
        <f>AND('Termostatski ventili'!C8,"AAAAAB9r9ZQ=")</f>
        <v>#VALUE!</v>
      </c>
      <c r="ET8" t="e">
        <f>AND('Termostatski ventili'!D8,"AAAAAB9r9ZU=")</f>
        <v>#VALUE!</v>
      </c>
      <c r="EU8" t="e">
        <f>AND('Termostatski ventili'!E8,"AAAAAB9r9ZY=")</f>
        <v>#VALUE!</v>
      </c>
      <c r="EV8" t="e">
        <f>AND('Termostatski ventili'!F8,"AAAAAB9r9Zc=")</f>
        <v>#VALUE!</v>
      </c>
      <c r="EW8">
        <f>IF('Termostatski ventili'!9:9,"AAAAAB9r9Zg=",0)</f>
        <v>0</v>
      </c>
      <c r="EX8" t="e">
        <f>AND('Termostatski ventili'!A9,"AAAAAB9r9Zk=")</f>
        <v>#VALUE!</v>
      </c>
      <c r="EY8" t="e">
        <f>AND('Termostatski ventili'!B9,"AAAAAB9r9Zo=")</f>
        <v>#VALUE!</v>
      </c>
      <c r="EZ8" t="e">
        <f>AND('Termostatski ventili'!C9,"AAAAAB9r9Zs=")</f>
        <v>#VALUE!</v>
      </c>
      <c r="FA8" t="e">
        <f>AND('Termostatski ventili'!D9,"AAAAAB9r9Zw=")</f>
        <v>#VALUE!</v>
      </c>
      <c r="FB8" t="e">
        <f>AND('Termostatski ventili'!E9,"AAAAAB9r9Z0=")</f>
        <v>#VALUE!</v>
      </c>
      <c r="FC8" t="e">
        <f>AND('Termostatski ventili'!F9,"AAAAAB9r9Z4=")</f>
        <v>#VALUE!</v>
      </c>
      <c r="FD8">
        <f>IF('Termostatski ventili'!10:10,"AAAAAB9r9Z8=",0)</f>
        <v>0</v>
      </c>
      <c r="FE8" t="e">
        <f>AND('Termostatski ventili'!A10,"AAAAAB9r9aA=")</f>
        <v>#VALUE!</v>
      </c>
      <c r="FF8" t="e">
        <f>AND('Termostatski ventili'!B10,"AAAAAB9r9aE=")</f>
        <v>#VALUE!</v>
      </c>
      <c r="FG8" t="e">
        <f>AND('Termostatski ventili'!C10,"AAAAAB9r9aI=")</f>
        <v>#VALUE!</v>
      </c>
      <c r="FH8" t="e">
        <f>AND('Termostatski ventili'!D10,"AAAAAB9r9aM=")</f>
        <v>#VALUE!</v>
      </c>
      <c r="FI8" t="e">
        <f>AND('Termostatski ventili'!E10,"AAAAAB9r9aQ=")</f>
        <v>#VALUE!</v>
      </c>
      <c r="FJ8" t="e">
        <f>AND('Termostatski ventili'!F10,"AAAAAB9r9aU=")</f>
        <v>#VALUE!</v>
      </c>
      <c r="FK8">
        <f>IF('Termostatski ventili'!11:11,"AAAAAB9r9aY=",0)</f>
        <v>0</v>
      </c>
      <c r="FL8" t="e">
        <f>AND('Termostatski ventili'!A11,"AAAAAB9r9ac=")</f>
        <v>#VALUE!</v>
      </c>
      <c r="FM8" t="e">
        <f>AND('Termostatski ventili'!B11,"AAAAAB9r9ag=")</f>
        <v>#VALUE!</v>
      </c>
      <c r="FN8" t="e">
        <f>AND('Termostatski ventili'!C11,"AAAAAB9r9ak=")</f>
        <v>#VALUE!</v>
      </c>
      <c r="FO8" t="e">
        <f>AND('Termostatski ventili'!D11,"AAAAAB9r9ao=")</f>
        <v>#VALUE!</v>
      </c>
      <c r="FP8" t="e">
        <f>AND('Termostatski ventili'!E11,"AAAAAB9r9as=")</f>
        <v>#VALUE!</v>
      </c>
      <c r="FQ8" t="e">
        <f>AND('Termostatski ventili'!F11,"AAAAAB9r9aw=")</f>
        <v>#VALUE!</v>
      </c>
      <c r="FR8">
        <f>IF('Termostatski ventili'!12:12,"AAAAAB9r9a0=",0)</f>
        <v>0</v>
      </c>
      <c r="FS8" t="e">
        <f>AND('Termostatski ventili'!A12,"AAAAAB9r9a4=")</f>
        <v>#VALUE!</v>
      </c>
      <c r="FT8" t="e">
        <f>AND('Termostatski ventili'!B12,"AAAAAB9r9a8=")</f>
        <v>#VALUE!</v>
      </c>
      <c r="FU8" t="e">
        <f>AND('Termostatski ventili'!C12,"AAAAAB9r9bA=")</f>
        <v>#VALUE!</v>
      </c>
      <c r="FV8" t="e">
        <f>AND('Termostatski ventili'!D12,"AAAAAB9r9bE=")</f>
        <v>#VALUE!</v>
      </c>
      <c r="FW8" t="e">
        <f>AND('Termostatski ventili'!E12,"AAAAAB9r9bI=")</f>
        <v>#VALUE!</v>
      </c>
      <c r="FX8" t="e">
        <f>AND('Termostatski ventili'!F12,"AAAAAB9r9bM=")</f>
        <v>#VALUE!</v>
      </c>
      <c r="FY8">
        <f>IF('Termostatski ventili'!13:13,"AAAAAB9r9bQ=",0)</f>
        <v>0</v>
      </c>
      <c r="FZ8" t="e">
        <f>AND('Termostatski ventili'!A13,"AAAAAB9r9bU=")</f>
        <v>#VALUE!</v>
      </c>
      <c r="GA8" t="e">
        <f>AND('Termostatski ventili'!B13,"AAAAAB9r9bY=")</f>
        <v>#VALUE!</v>
      </c>
      <c r="GB8" t="e">
        <f>AND('Termostatski ventili'!C13,"AAAAAB9r9bc=")</f>
        <v>#VALUE!</v>
      </c>
      <c r="GC8" t="e">
        <f>AND('Termostatski ventili'!D13,"AAAAAB9r9bg=")</f>
        <v>#VALUE!</v>
      </c>
      <c r="GD8" t="e">
        <f>AND('Termostatski ventili'!E13,"AAAAAB9r9bk=")</f>
        <v>#VALUE!</v>
      </c>
      <c r="GE8" t="e">
        <f>AND('Termostatski ventili'!F13,"AAAAAB9r9bo=")</f>
        <v>#VALUE!</v>
      </c>
      <c r="GF8">
        <f>IF('Termostatski ventili'!14:14,"AAAAAB9r9bs=",0)</f>
        <v>0</v>
      </c>
      <c r="GG8" t="e">
        <f>AND('Termostatski ventili'!A14,"AAAAAB9r9bw=")</f>
        <v>#VALUE!</v>
      </c>
      <c r="GH8" t="e">
        <f>AND('Termostatski ventili'!B14,"AAAAAB9r9b0=")</f>
        <v>#VALUE!</v>
      </c>
      <c r="GI8" t="e">
        <f>AND('Termostatski ventili'!C14,"AAAAAB9r9b4=")</f>
        <v>#VALUE!</v>
      </c>
      <c r="GJ8" t="e">
        <f>AND('Termostatski ventili'!D14,"AAAAAB9r9b8=")</f>
        <v>#VALUE!</v>
      </c>
      <c r="GK8" t="e">
        <f>AND('Termostatski ventili'!E14,"AAAAAB9r9cA=")</f>
        <v>#VALUE!</v>
      </c>
      <c r="GL8" t="e">
        <f>AND('Termostatski ventili'!F14,"AAAAAB9r9cE=")</f>
        <v>#VALUE!</v>
      </c>
      <c r="GM8">
        <f>IF('Termostatski ventili'!15:15,"AAAAAB9r9cI=",0)</f>
        <v>0</v>
      </c>
      <c r="GN8" t="e">
        <f>AND('Termostatski ventili'!A15,"AAAAAB9r9cM=")</f>
        <v>#VALUE!</v>
      </c>
      <c r="GO8" t="e">
        <f>AND('Termostatski ventili'!B15,"AAAAAB9r9cQ=")</f>
        <v>#VALUE!</v>
      </c>
      <c r="GP8" t="e">
        <f>AND('Termostatski ventili'!C15,"AAAAAB9r9cU=")</f>
        <v>#VALUE!</v>
      </c>
      <c r="GQ8" t="e">
        <f>AND('Termostatski ventili'!D15,"AAAAAB9r9cY=")</f>
        <v>#VALUE!</v>
      </c>
      <c r="GR8" t="e">
        <f>AND('Termostatski ventili'!E15,"AAAAAB9r9cc=")</f>
        <v>#VALUE!</v>
      </c>
      <c r="GS8" t="e">
        <f>AND('Termostatski ventili'!F15,"AAAAAB9r9cg=")</f>
        <v>#VALUE!</v>
      </c>
      <c r="GT8">
        <f>IF('Termostatski ventili'!16:16,"AAAAAB9r9ck=",0)</f>
        <v>0</v>
      </c>
      <c r="GU8" t="e">
        <f>AND('Termostatski ventili'!A16,"AAAAAB9r9co=")</f>
        <v>#VALUE!</v>
      </c>
      <c r="GV8" t="e">
        <f>AND('Termostatski ventili'!B16,"AAAAAB9r9cs=")</f>
        <v>#VALUE!</v>
      </c>
      <c r="GW8" t="e">
        <f>AND('Termostatski ventili'!C16,"AAAAAB9r9cw=")</f>
        <v>#VALUE!</v>
      </c>
      <c r="GX8" t="e">
        <f>AND('Termostatski ventili'!D16,"AAAAAB9r9c0=")</f>
        <v>#VALUE!</v>
      </c>
      <c r="GY8" t="e">
        <f>AND('Termostatski ventili'!E16,"AAAAAB9r9c4=")</f>
        <v>#VALUE!</v>
      </c>
      <c r="GZ8" t="e">
        <f>AND('Termostatski ventili'!F16,"AAAAAB9r9c8=")</f>
        <v>#VALUE!</v>
      </c>
      <c r="HA8">
        <f>IF('Termostatski ventili'!17:17,"AAAAAB9r9dA=",0)</f>
        <v>0</v>
      </c>
      <c r="HB8" t="e">
        <f>AND('Termostatski ventili'!A17,"AAAAAB9r9dE=")</f>
        <v>#VALUE!</v>
      </c>
      <c r="HC8" t="e">
        <f>AND('Termostatski ventili'!B17,"AAAAAB9r9dI=")</f>
        <v>#VALUE!</v>
      </c>
      <c r="HD8" t="e">
        <f>AND('Termostatski ventili'!C17,"AAAAAB9r9dM=")</f>
        <v>#VALUE!</v>
      </c>
      <c r="HE8" t="e">
        <f>AND('Termostatski ventili'!D17,"AAAAAB9r9dQ=")</f>
        <v>#VALUE!</v>
      </c>
      <c r="HF8" t="e">
        <f>AND('Termostatski ventili'!E17,"AAAAAB9r9dU=")</f>
        <v>#VALUE!</v>
      </c>
      <c r="HG8" t="e">
        <f>AND('Termostatski ventili'!F17,"AAAAAB9r9dY=")</f>
        <v>#VALUE!</v>
      </c>
      <c r="HH8">
        <f>IF('Termostatski ventili'!18:18,"AAAAAB9r9dc=",0)</f>
        <v>0</v>
      </c>
      <c r="HI8" t="e">
        <f>AND('Termostatski ventili'!A18,"AAAAAB9r9dg=")</f>
        <v>#VALUE!</v>
      </c>
      <c r="HJ8" t="e">
        <f>AND('Termostatski ventili'!B18,"AAAAAB9r9dk=")</f>
        <v>#VALUE!</v>
      </c>
      <c r="HK8" t="e">
        <f>AND('Termostatski ventili'!C18,"AAAAAB9r9do=")</f>
        <v>#VALUE!</v>
      </c>
      <c r="HL8" t="e">
        <f>AND('Termostatski ventili'!D18,"AAAAAB9r9ds=")</f>
        <v>#VALUE!</v>
      </c>
      <c r="HM8" t="e">
        <f>AND('Termostatski ventili'!E18,"AAAAAB9r9dw=")</f>
        <v>#VALUE!</v>
      </c>
      <c r="HN8" t="e">
        <f>AND('Termostatski ventili'!F18,"AAAAAB9r9d0=")</f>
        <v>#VALUE!</v>
      </c>
      <c r="HO8">
        <f>IF('Termostatski ventili'!19:19,"AAAAAB9r9d4=",0)</f>
        <v>0</v>
      </c>
      <c r="HP8" t="e">
        <f>AND('Termostatski ventili'!A19,"AAAAAB9r9d8=")</f>
        <v>#VALUE!</v>
      </c>
      <c r="HQ8" t="e">
        <f>AND('Termostatski ventili'!B19,"AAAAAB9r9eA=")</f>
        <v>#VALUE!</v>
      </c>
      <c r="HR8" t="e">
        <f>AND('Termostatski ventili'!C19,"AAAAAB9r9eE=")</f>
        <v>#VALUE!</v>
      </c>
      <c r="HS8" t="e">
        <f>AND('Termostatski ventili'!D19,"AAAAAB9r9eI=")</f>
        <v>#VALUE!</v>
      </c>
      <c r="HT8" t="e">
        <f>AND('Termostatski ventili'!E19,"AAAAAB9r9eM=")</f>
        <v>#VALUE!</v>
      </c>
      <c r="HU8" t="e">
        <f>AND('Termostatski ventili'!F19,"AAAAAB9r9eQ=")</f>
        <v>#VALUE!</v>
      </c>
      <c r="HV8">
        <f>IF('Termostatski ventili'!20:20,"AAAAAB9r9eU=",0)</f>
        <v>0</v>
      </c>
      <c r="HW8" t="e">
        <f>AND('Termostatski ventili'!A20,"AAAAAB9r9eY=")</f>
        <v>#VALUE!</v>
      </c>
      <c r="HX8" t="e">
        <f>AND('Termostatski ventili'!B20,"AAAAAB9r9ec=")</f>
        <v>#VALUE!</v>
      </c>
      <c r="HY8" t="e">
        <f>AND('Termostatski ventili'!C20,"AAAAAB9r9eg=")</f>
        <v>#VALUE!</v>
      </c>
      <c r="HZ8" t="e">
        <f>AND('Termostatski ventili'!D20,"AAAAAB9r9ek=")</f>
        <v>#VALUE!</v>
      </c>
      <c r="IA8" t="e">
        <f>AND('Termostatski ventili'!E20,"AAAAAB9r9eo=")</f>
        <v>#VALUE!</v>
      </c>
      <c r="IB8" t="e">
        <f>AND('Termostatski ventili'!F20,"AAAAAB9r9es=")</f>
        <v>#VALUE!</v>
      </c>
      <c r="IC8">
        <f>IF('Termostatski ventili'!21:21,"AAAAAB9r9ew=",0)</f>
        <v>0</v>
      </c>
      <c r="ID8" t="e">
        <f>AND('Termostatski ventili'!A21,"AAAAAB9r9e0=")</f>
        <v>#VALUE!</v>
      </c>
      <c r="IE8" t="e">
        <f>AND('Termostatski ventili'!B21,"AAAAAB9r9e4=")</f>
        <v>#VALUE!</v>
      </c>
      <c r="IF8" t="e">
        <f>AND('Termostatski ventili'!C21,"AAAAAB9r9e8=")</f>
        <v>#VALUE!</v>
      </c>
      <c r="IG8" t="e">
        <f>AND('Termostatski ventili'!D21,"AAAAAB9r9fA=")</f>
        <v>#VALUE!</v>
      </c>
      <c r="IH8" t="e">
        <f>AND('Termostatski ventili'!E21,"AAAAAB9r9fE=")</f>
        <v>#VALUE!</v>
      </c>
      <c r="II8" t="e">
        <f>AND('Termostatski ventili'!F21,"AAAAAB9r9fI=")</f>
        <v>#VALUE!</v>
      </c>
      <c r="IJ8">
        <f>IF('Termostatski ventili'!22:22,"AAAAAB9r9fM=",0)</f>
        <v>0</v>
      </c>
      <c r="IK8" t="e">
        <f>AND('Termostatski ventili'!A22,"AAAAAB9r9fQ=")</f>
        <v>#VALUE!</v>
      </c>
      <c r="IL8" t="e">
        <f>AND('Termostatski ventili'!B22,"AAAAAB9r9fU=")</f>
        <v>#VALUE!</v>
      </c>
      <c r="IM8" t="e">
        <f>AND('Termostatski ventili'!C22,"AAAAAB9r9fY=")</f>
        <v>#VALUE!</v>
      </c>
      <c r="IN8" t="e">
        <f>AND('Termostatski ventili'!D22,"AAAAAB9r9fc=")</f>
        <v>#VALUE!</v>
      </c>
      <c r="IO8" t="e">
        <f>AND('Termostatski ventili'!E22,"AAAAAB9r9fg=")</f>
        <v>#VALUE!</v>
      </c>
      <c r="IP8" t="e">
        <f>AND('Termostatski ventili'!F22,"AAAAAB9r9fk=")</f>
        <v>#VALUE!</v>
      </c>
      <c r="IQ8">
        <f>IF('Termostatski ventili'!23:23,"AAAAAB9r9fo=",0)</f>
        <v>0</v>
      </c>
      <c r="IR8" t="e">
        <f>AND('Termostatski ventili'!A23,"AAAAAB9r9fs=")</f>
        <v>#VALUE!</v>
      </c>
      <c r="IS8" t="e">
        <f>AND('Termostatski ventili'!B23,"AAAAAB9r9fw=")</f>
        <v>#VALUE!</v>
      </c>
      <c r="IT8" t="e">
        <f>AND('Termostatski ventili'!C23,"AAAAAB9r9f0=")</f>
        <v>#VALUE!</v>
      </c>
      <c r="IU8" t="e">
        <f>AND('Termostatski ventili'!D23,"AAAAAB9r9f4=")</f>
        <v>#VALUE!</v>
      </c>
      <c r="IV8" t="e">
        <f>AND('Termostatski ventili'!E23,"AAAAAB9r9f8=")</f>
        <v>#VALUE!</v>
      </c>
    </row>
    <row r="9" spans="1:140" ht="15">
      <c r="A9" t="e">
        <f>AND('Termostatski ventili'!F23,"AAAAAH3X4wA=")</f>
        <v>#VALUE!</v>
      </c>
      <c r="B9">
        <f>IF('Termostatski ventili'!24:24,"AAAAAH3X4wE=",0)</f>
        <v>0</v>
      </c>
      <c r="C9" t="e">
        <f>AND('Termostatski ventili'!A24,"AAAAAH3X4wI=")</f>
        <v>#VALUE!</v>
      </c>
      <c r="D9" t="e">
        <f>AND('Termostatski ventili'!B24,"AAAAAH3X4wM=")</f>
        <v>#VALUE!</v>
      </c>
      <c r="E9" t="e">
        <f>AND('Termostatski ventili'!C24,"AAAAAH3X4wQ=")</f>
        <v>#VALUE!</v>
      </c>
      <c r="F9" t="e">
        <f>AND('Termostatski ventili'!D24,"AAAAAH3X4wU=")</f>
        <v>#VALUE!</v>
      </c>
      <c r="G9" t="e">
        <f>AND('Termostatski ventili'!E24,"AAAAAH3X4wY=")</f>
        <v>#VALUE!</v>
      </c>
      <c r="H9" t="e">
        <f>AND('Termostatski ventili'!F24,"AAAAAH3X4wc=")</f>
        <v>#VALUE!</v>
      </c>
      <c r="I9">
        <f>IF('Termostatski ventili'!25:25,"AAAAAH3X4wg=",0)</f>
        <v>0</v>
      </c>
      <c r="J9" t="e">
        <f>AND('Termostatski ventili'!A25,"AAAAAH3X4wk=")</f>
        <v>#VALUE!</v>
      </c>
      <c r="K9" t="e">
        <f>AND('Termostatski ventili'!B25,"AAAAAH3X4wo=")</f>
        <v>#VALUE!</v>
      </c>
      <c r="L9" t="e">
        <f>AND('Termostatski ventili'!C25,"AAAAAH3X4ws=")</f>
        <v>#VALUE!</v>
      </c>
      <c r="M9" t="e">
        <f>AND('Termostatski ventili'!D25,"AAAAAH3X4ww=")</f>
        <v>#VALUE!</v>
      </c>
      <c r="N9" t="e">
        <f>AND('Termostatski ventili'!E25,"AAAAAH3X4w0=")</f>
        <v>#VALUE!</v>
      </c>
      <c r="O9" t="e">
        <f>AND('Termostatski ventili'!F25,"AAAAAH3X4w4=")</f>
        <v>#VALUE!</v>
      </c>
      <c r="P9">
        <f>IF('Termostatski ventili'!26:26,"AAAAAH3X4w8=",0)</f>
        <v>0</v>
      </c>
      <c r="Q9" t="e">
        <f>AND('Termostatski ventili'!A26,"AAAAAH3X4xA=")</f>
        <v>#VALUE!</v>
      </c>
      <c r="R9" t="e">
        <f>AND('Termostatski ventili'!B26,"AAAAAH3X4xE=")</f>
        <v>#VALUE!</v>
      </c>
      <c r="S9" t="e">
        <f>AND('Termostatski ventili'!C26,"AAAAAH3X4xI=")</f>
        <v>#VALUE!</v>
      </c>
      <c r="T9" t="e">
        <f>AND('Termostatski ventili'!D26,"AAAAAH3X4xM=")</f>
        <v>#VALUE!</v>
      </c>
      <c r="U9" t="e">
        <f>AND('Termostatski ventili'!E26,"AAAAAH3X4xQ=")</f>
        <v>#VALUE!</v>
      </c>
      <c r="V9" t="e">
        <f>AND('Termostatski ventili'!F26,"AAAAAH3X4xU=")</f>
        <v>#VALUE!</v>
      </c>
      <c r="W9">
        <f>IF('Termostatski ventili'!27:27,"AAAAAH3X4xY=",0)</f>
        <v>0</v>
      </c>
      <c r="X9" t="e">
        <f>AND('Termostatski ventili'!A27,"AAAAAH3X4xc=")</f>
        <v>#VALUE!</v>
      </c>
      <c r="Y9" t="e">
        <f>AND('Termostatski ventili'!B27,"AAAAAH3X4xg=")</f>
        <v>#VALUE!</v>
      </c>
      <c r="Z9" t="e">
        <f>AND('Termostatski ventili'!C27,"AAAAAH3X4xk=")</f>
        <v>#VALUE!</v>
      </c>
      <c r="AA9" t="e">
        <f>AND('Termostatski ventili'!D27,"AAAAAH3X4xo=")</f>
        <v>#VALUE!</v>
      </c>
      <c r="AB9" t="e">
        <f>AND('Termostatski ventili'!E27,"AAAAAH3X4xs=")</f>
        <v>#VALUE!</v>
      </c>
      <c r="AC9" t="e">
        <f>AND('Termostatski ventili'!F27,"AAAAAH3X4xw=")</f>
        <v>#VALUE!</v>
      </c>
      <c r="AD9">
        <f>IF('Termostatski ventili'!28:28,"AAAAAH3X4x0=",0)</f>
        <v>0</v>
      </c>
      <c r="AE9" t="e">
        <f>AND('Termostatski ventili'!A28,"AAAAAH3X4x4=")</f>
        <v>#VALUE!</v>
      </c>
      <c r="AF9" t="e">
        <f>AND('Termostatski ventili'!B28,"AAAAAH3X4x8=")</f>
        <v>#VALUE!</v>
      </c>
      <c r="AG9" t="e">
        <f>AND('Termostatski ventili'!C28,"AAAAAH3X4yA=")</f>
        <v>#VALUE!</v>
      </c>
      <c r="AH9" t="e">
        <f>AND('Termostatski ventili'!D28,"AAAAAH3X4yE=")</f>
        <v>#VALUE!</v>
      </c>
      <c r="AI9" t="e">
        <f>AND('Termostatski ventili'!E28,"AAAAAH3X4yI=")</f>
        <v>#VALUE!</v>
      </c>
      <c r="AJ9" t="e">
        <f>AND('Termostatski ventili'!F28,"AAAAAH3X4yM=")</f>
        <v>#VALUE!</v>
      </c>
      <c r="AK9">
        <f>IF('Termostatski ventili'!29:29,"AAAAAH3X4yQ=",0)</f>
        <v>0</v>
      </c>
      <c r="AL9" t="e">
        <f>AND('Termostatski ventili'!A29,"AAAAAH3X4yU=")</f>
        <v>#VALUE!</v>
      </c>
      <c r="AM9" t="e">
        <f>AND('Termostatski ventili'!B29,"AAAAAH3X4yY=")</f>
        <v>#VALUE!</v>
      </c>
      <c r="AN9" t="e">
        <f>AND('Termostatski ventili'!C29,"AAAAAH3X4yc=")</f>
        <v>#VALUE!</v>
      </c>
      <c r="AO9" t="e">
        <f>AND('Termostatski ventili'!D29,"AAAAAH3X4yg=")</f>
        <v>#VALUE!</v>
      </c>
      <c r="AP9" t="e">
        <f>AND('Termostatski ventili'!E29,"AAAAAH3X4yk=")</f>
        <v>#VALUE!</v>
      </c>
      <c r="AQ9" t="e">
        <f>AND('Termostatski ventili'!F29,"AAAAAH3X4yo=")</f>
        <v>#VALUE!</v>
      </c>
      <c r="AR9">
        <f>IF('Termostatski ventili'!30:30,"AAAAAH3X4ys=",0)</f>
        <v>0</v>
      </c>
      <c r="AS9" t="e">
        <f>AND('Termostatski ventili'!A30,"AAAAAH3X4yw=")</f>
        <v>#VALUE!</v>
      </c>
      <c r="AT9" t="e">
        <f>AND('Termostatski ventili'!B30,"AAAAAH3X4y0=")</f>
        <v>#VALUE!</v>
      </c>
      <c r="AU9" t="e">
        <f>AND('Termostatski ventili'!C30,"AAAAAH3X4y4=")</f>
        <v>#VALUE!</v>
      </c>
      <c r="AV9" t="e">
        <f>AND('Termostatski ventili'!D30,"AAAAAH3X4y8=")</f>
        <v>#VALUE!</v>
      </c>
      <c r="AW9" t="e">
        <f>AND('Termostatski ventili'!E30,"AAAAAH3X4zA=")</f>
        <v>#VALUE!</v>
      </c>
      <c r="AX9" t="e">
        <f>AND('Termostatski ventili'!F30,"AAAAAH3X4zE=")</f>
        <v>#VALUE!</v>
      </c>
      <c r="AY9">
        <f>IF('Termostatski ventili'!31:31,"AAAAAH3X4zI=",0)</f>
        <v>0</v>
      </c>
      <c r="AZ9" t="e">
        <f>AND('Termostatski ventili'!A31,"AAAAAH3X4zM=")</f>
        <v>#VALUE!</v>
      </c>
      <c r="BA9" t="e">
        <f>AND('Termostatski ventili'!B31,"AAAAAH3X4zQ=")</f>
        <v>#VALUE!</v>
      </c>
      <c r="BB9" t="e">
        <f>AND('Termostatski ventili'!C31,"AAAAAH3X4zU=")</f>
        <v>#VALUE!</v>
      </c>
      <c r="BC9" t="e">
        <f>AND('Termostatski ventili'!D31,"AAAAAH3X4zY=")</f>
        <v>#VALUE!</v>
      </c>
      <c r="BD9" t="e">
        <f>AND('Termostatski ventili'!E31,"AAAAAH3X4zc=")</f>
        <v>#VALUE!</v>
      </c>
      <c r="BE9" t="e">
        <f>AND('Termostatski ventili'!F31,"AAAAAH3X4zg=")</f>
        <v>#VALUE!</v>
      </c>
      <c r="BF9">
        <f>IF('Termostatski ventili'!32:32,"AAAAAH3X4zk=",0)</f>
        <v>0</v>
      </c>
      <c r="BG9" t="e">
        <f>AND('Termostatski ventili'!A32,"AAAAAH3X4zo=")</f>
        <v>#VALUE!</v>
      </c>
      <c r="BH9" t="e">
        <f>AND('Termostatski ventili'!B32,"AAAAAH3X4zs=")</f>
        <v>#VALUE!</v>
      </c>
      <c r="BI9" t="e">
        <f>AND('Termostatski ventili'!C32,"AAAAAH3X4zw=")</f>
        <v>#VALUE!</v>
      </c>
      <c r="BJ9" t="e">
        <f>AND('Termostatski ventili'!D32,"AAAAAH3X4z0=")</f>
        <v>#VALUE!</v>
      </c>
      <c r="BK9" t="e">
        <f>AND('Termostatski ventili'!E32,"AAAAAH3X4z4=")</f>
        <v>#VALUE!</v>
      </c>
      <c r="BL9" t="e">
        <f>AND('Termostatski ventili'!F32,"AAAAAH3X4z8=")</f>
        <v>#VALUE!</v>
      </c>
      <c r="BM9">
        <f>IF('Termostatski ventili'!33:33,"AAAAAH3X40A=",0)</f>
        <v>0</v>
      </c>
      <c r="BN9" t="e">
        <f>AND('Termostatski ventili'!A33,"AAAAAH3X40E=")</f>
        <v>#VALUE!</v>
      </c>
      <c r="BO9" t="e">
        <f>AND('Termostatski ventili'!B33,"AAAAAH3X40I=")</f>
        <v>#VALUE!</v>
      </c>
      <c r="BP9" t="e">
        <f>AND('Termostatski ventili'!C33,"AAAAAH3X40M=")</f>
        <v>#VALUE!</v>
      </c>
      <c r="BQ9" t="e">
        <f>AND('Termostatski ventili'!D33,"AAAAAH3X40Q=")</f>
        <v>#VALUE!</v>
      </c>
      <c r="BR9" t="e">
        <f>AND('Termostatski ventili'!E33,"AAAAAH3X40U=")</f>
        <v>#VALUE!</v>
      </c>
      <c r="BS9" t="e">
        <f>AND('Termostatski ventili'!F33,"AAAAAH3X40Y=")</f>
        <v>#VALUE!</v>
      </c>
      <c r="BT9" t="e">
        <f>IF('Termostatski ventili'!#REF!,"AAAAAH3X40c=",0)</f>
        <v>#REF!</v>
      </c>
      <c r="BU9" t="e">
        <f>AND('Termostatski ventili'!#REF!,"AAAAAH3X40g=")</f>
        <v>#REF!</v>
      </c>
      <c r="BV9" t="e">
        <f>AND('Termostatski ventili'!#REF!,"AAAAAH3X40k=")</f>
        <v>#REF!</v>
      </c>
      <c r="BW9" t="e">
        <f>AND('Termostatski ventili'!#REF!,"AAAAAH3X40o=")</f>
        <v>#REF!</v>
      </c>
      <c r="BX9" t="e">
        <f>AND('Termostatski ventili'!#REF!,"AAAAAH3X40s=")</f>
        <v>#REF!</v>
      </c>
      <c r="BY9" t="e">
        <f>AND('Termostatski ventili'!#REF!,"AAAAAH3X40w=")</f>
        <v>#REF!</v>
      </c>
      <c r="BZ9" t="e">
        <f>AND('Termostatski ventili'!#REF!,"AAAAAH3X400=")</f>
        <v>#REF!</v>
      </c>
      <c r="CA9" t="e">
        <f>IF('Termostatski ventili'!#REF!,"AAAAAH3X404=",0)</f>
        <v>#REF!</v>
      </c>
      <c r="CB9" t="e">
        <f>AND('Termostatski ventili'!#REF!,"AAAAAH3X408=")</f>
        <v>#REF!</v>
      </c>
      <c r="CC9" t="e">
        <f>AND('Termostatski ventili'!#REF!,"AAAAAH3X41A=")</f>
        <v>#REF!</v>
      </c>
      <c r="CD9" t="e">
        <f>AND('Termostatski ventili'!#REF!,"AAAAAH3X41E=")</f>
        <v>#REF!</v>
      </c>
      <c r="CE9" t="e">
        <f>AND('Termostatski ventili'!#REF!,"AAAAAH3X41I=")</f>
        <v>#REF!</v>
      </c>
      <c r="CF9" t="e">
        <f>AND('Termostatski ventili'!#REF!,"AAAAAH3X41M=")</f>
        <v>#REF!</v>
      </c>
      <c r="CG9" t="e">
        <f>AND('Termostatski ventili'!#REF!,"AAAAAH3X41Q=")</f>
        <v>#REF!</v>
      </c>
      <c r="CH9" t="e">
        <f>IF('Termostatski ventili'!#REF!,"AAAAAH3X41U=",0)</f>
        <v>#REF!</v>
      </c>
      <c r="CI9" t="e">
        <f>AND('Termostatski ventili'!#REF!,"AAAAAH3X41Y=")</f>
        <v>#REF!</v>
      </c>
      <c r="CJ9" t="e">
        <f>AND('Termostatski ventili'!#REF!,"AAAAAH3X41c=")</f>
        <v>#REF!</v>
      </c>
      <c r="CK9" t="e">
        <f>AND('Termostatski ventili'!#REF!,"AAAAAH3X41g=")</f>
        <v>#REF!</v>
      </c>
      <c r="CL9" t="e">
        <f>AND('Termostatski ventili'!#REF!,"AAAAAH3X41k=")</f>
        <v>#REF!</v>
      </c>
      <c r="CM9" t="e">
        <f>AND('Termostatski ventili'!#REF!,"AAAAAH3X41o=")</f>
        <v>#REF!</v>
      </c>
      <c r="CN9" t="e">
        <f>AND('Termostatski ventili'!#REF!,"AAAAAH3X41s=")</f>
        <v>#REF!</v>
      </c>
      <c r="CO9" t="e">
        <f>IF('Termostatski ventili'!#REF!,"AAAAAH3X41w=",0)</f>
        <v>#REF!</v>
      </c>
      <c r="CP9" t="e">
        <f>AND('Termostatski ventili'!#REF!,"AAAAAH3X410=")</f>
        <v>#REF!</v>
      </c>
      <c r="CQ9" t="e">
        <f>AND('Termostatski ventili'!#REF!,"AAAAAH3X414=")</f>
        <v>#REF!</v>
      </c>
      <c r="CR9" t="e">
        <f>AND('Termostatski ventili'!#REF!,"AAAAAH3X418=")</f>
        <v>#REF!</v>
      </c>
      <c r="CS9" t="e">
        <f>AND('Termostatski ventili'!#REF!,"AAAAAH3X42A=")</f>
        <v>#REF!</v>
      </c>
      <c r="CT9" t="e">
        <f>AND('Termostatski ventili'!#REF!,"AAAAAH3X42E=")</f>
        <v>#REF!</v>
      </c>
      <c r="CU9" t="e">
        <f>AND('Termostatski ventili'!#REF!,"AAAAAH3X42I=")</f>
        <v>#REF!</v>
      </c>
      <c r="CV9" t="e">
        <f>IF('Termostatski ventili'!#REF!,"AAAAAH3X42M=",0)</f>
        <v>#REF!</v>
      </c>
      <c r="CW9" t="e">
        <f>AND('Termostatski ventili'!#REF!,"AAAAAH3X42Q=")</f>
        <v>#REF!</v>
      </c>
      <c r="CX9" t="e">
        <f>AND('Termostatski ventili'!#REF!,"AAAAAH3X42U=")</f>
        <v>#REF!</v>
      </c>
      <c r="CY9" t="e">
        <f>AND('Termostatski ventili'!#REF!,"AAAAAH3X42Y=")</f>
        <v>#REF!</v>
      </c>
      <c r="CZ9" t="e">
        <f>AND('Termostatski ventili'!#REF!,"AAAAAH3X42c=")</f>
        <v>#REF!</v>
      </c>
      <c r="DA9" t="e">
        <f>AND('Termostatski ventili'!#REF!,"AAAAAH3X42g=")</f>
        <v>#REF!</v>
      </c>
      <c r="DB9" t="e">
        <f>AND('Termostatski ventili'!#REF!,"AAAAAH3X42k=")</f>
        <v>#REF!</v>
      </c>
      <c r="DC9" t="e">
        <f>IF('Termostatski ventili'!#REF!,"AAAAAH3X42o=",0)</f>
        <v>#REF!</v>
      </c>
      <c r="DD9" t="e">
        <f>AND('Termostatski ventili'!#REF!,"AAAAAH3X42s=")</f>
        <v>#REF!</v>
      </c>
      <c r="DE9" t="e">
        <f>AND('Termostatski ventili'!#REF!,"AAAAAH3X42w=")</f>
        <v>#REF!</v>
      </c>
      <c r="DF9" t="e">
        <f>AND('Termostatski ventili'!#REF!,"AAAAAH3X420=")</f>
        <v>#REF!</v>
      </c>
      <c r="DG9" t="e">
        <f>AND('Termostatski ventili'!#REF!,"AAAAAH3X424=")</f>
        <v>#REF!</v>
      </c>
      <c r="DH9" t="e">
        <f>AND('Termostatski ventili'!#REF!,"AAAAAH3X428=")</f>
        <v>#REF!</v>
      </c>
      <c r="DI9" t="e">
        <f>AND('Termostatski ventili'!#REF!,"AAAAAH3X43A=")</f>
        <v>#REF!</v>
      </c>
      <c r="DJ9">
        <f>IF('Termostatski ventili'!34:34,"AAAAAH3X43E=",0)</f>
        <v>0</v>
      </c>
      <c r="DK9" t="e">
        <f>AND('Termostatski ventili'!A34,"AAAAAH3X43I=")</f>
        <v>#VALUE!</v>
      </c>
      <c r="DL9" t="e">
        <f>AND('Termostatski ventili'!B34,"AAAAAH3X43M=")</f>
        <v>#VALUE!</v>
      </c>
      <c r="DM9">
        <f>IF('Termostatski ventili'!35:35,"AAAAAH3X43Q=",0)</f>
        <v>0</v>
      </c>
      <c r="DN9" t="e">
        <f>AND('Termostatski ventili'!A35,"AAAAAH3X43U=")</f>
        <v>#VALUE!</v>
      </c>
      <c r="DO9" t="e">
        <f>AND('Termostatski ventili'!B35,"AAAAAH3X43Y=")</f>
        <v>#VALUE!</v>
      </c>
      <c r="DP9">
        <f>IF('Termostatski ventili'!36:36,"AAAAAH3X43c=",0)</f>
        <v>0</v>
      </c>
      <c r="DQ9" t="e">
        <f>AND('Termostatski ventili'!A36,"AAAAAH3X43g=")</f>
        <v>#VALUE!</v>
      </c>
      <c r="DR9" t="e">
        <f>AND('Termostatski ventili'!B36,"AAAAAH3X43k=")</f>
        <v>#VALUE!</v>
      </c>
      <c r="DS9">
        <f>IF('Termostatski ventili'!37:37,"AAAAAH3X43o=",0)</f>
        <v>0</v>
      </c>
      <c r="DT9" t="e">
        <f>AND('Termostatski ventili'!A37,"AAAAAH3X43s=")</f>
        <v>#VALUE!</v>
      </c>
      <c r="DU9" t="e">
        <f>AND('Termostatski ventili'!B37,"AAAAAH3X43w=")</f>
        <v>#VALUE!</v>
      </c>
      <c r="DV9" t="e">
        <f>IF('Termostatski ventili'!A:A,"AAAAAH3X430=",0)</f>
        <v>#VALUE!</v>
      </c>
      <c r="DW9" t="e">
        <f>IF('Termostatski ventili'!B:B,"AAAAAH3X434=",0)</f>
        <v>#VALUE!</v>
      </c>
      <c r="DX9">
        <f>IF('Termostatski ventili'!C:C,"AAAAAH3X438=",0)</f>
        <v>0</v>
      </c>
      <c r="DY9">
        <f>IF('Termostatski ventili'!D:D,"AAAAAH3X44A=",0)</f>
        <v>0</v>
      </c>
      <c r="DZ9">
        <f>IF('Termostatski ventili'!E:E,"AAAAAH3X44E=",0)</f>
        <v>0</v>
      </c>
      <c r="EA9">
        <f>IF('Termostatski ventili'!F:F,"AAAAAH3X44I=",0)</f>
        <v>0</v>
      </c>
      <c r="EB9" s="267" t="s">
        <v>162</v>
      </c>
      <c r="EC9" s="268" t="s">
        <v>163</v>
      </c>
      <c r="ED9" s="269" t="s">
        <v>164</v>
      </c>
      <c r="EE9" s="270" t="s">
        <v>165</v>
      </c>
      <c r="EF9" t="e">
        <f>IF("N",'Prezračevanje '!PRINT_AREA,"AAAAAH3X44c=")</f>
        <v>#VALUE!</v>
      </c>
      <c r="EG9" t="e">
        <f>IF("N",'Termostatski ventili'!PRINT_AREA,"AAAAAH3X44g=")</f>
        <v>#VALUE!</v>
      </c>
      <c r="EH9" t="e">
        <f>IF("N",'Prezračevanje '!PRINT_TITLES,"AAAAAH3X44k=")</f>
        <v>#VALUE!</v>
      </c>
      <c r="EI9" t="e">
        <f>IF("N",'Termostatski ventili'!PRINT_TITLES,"AAAAAH3X44o=")</f>
        <v>#VALUE!</v>
      </c>
      <c r="EJ9" t="e">
        <f>IF("N",Voda,Ogrevanje!PRINT_TITLES,"AAAAAH3X44s=")</f>
        <v>#VALUE!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G11" sqref="G11"/>
    </sheetView>
  </sheetViews>
  <sheetFormatPr defaultColWidth="9.00390625" defaultRowHeight="12.75"/>
  <cols>
    <col min="1" max="1" width="7.00390625" style="0" customWidth="1"/>
    <col min="2" max="2" width="47.25390625" style="0" customWidth="1"/>
    <col min="3" max="3" width="31.375" style="0" bestFit="1" customWidth="1"/>
    <col min="7" max="7" width="13.625" style="0" customWidth="1"/>
  </cols>
  <sheetData>
    <row r="1" spans="1:7" ht="32.25" customHeight="1" thickBot="1">
      <c r="A1" s="323" t="s">
        <v>116</v>
      </c>
      <c r="B1" s="324"/>
      <c r="C1" s="324"/>
      <c r="D1" s="331"/>
      <c r="E1" s="331"/>
      <c r="F1" s="331"/>
      <c r="G1" s="401"/>
    </row>
    <row r="2" spans="1:7" ht="12.75">
      <c r="A2" s="326" t="s">
        <v>66</v>
      </c>
      <c r="B2" s="327"/>
      <c r="C2" s="327"/>
      <c r="D2" s="326"/>
      <c r="E2" s="327"/>
      <c r="F2" s="327"/>
      <c r="G2" s="402"/>
    </row>
    <row r="3" spans="1:7" ht="35.25" customHeight="1">
      <c r="A3" s="333" t="s">
        <v>117</v>
      </c>
      <c r="B3" s="334"/>
      <c r="C3" s="334"/>
      <c r="D3" s="334"/>
      <c r="E3" s="334"/>
      <c r="F3" s="334"/>
      <c r="G3" s="70"/>
    </row>
    <row r="4" spans="1:7" ht="18" customHeight="1">
      <c r="A4" s="345" t="s">
        <v>188</v>
      </c>
      <c r="B4" s="346"/>
      <c r="C4" s="346"/>
      <c r="D4" s="346"/>
      <c r="E4" s="346"/>
      <c r="F4" s="349"/>
      <c r="G4" s="353"/>
    </row>
    <row r="5" spans="1:7" ht="15">
      <c r="A5" s="348"/>
      <c r="B5" s="349"/>
      <c r="C5" s="349"/>
      <c r="D5" s="349"/>
      <c r="E5" s="349"/>
      <c r="F5" s="349"/>
      <c r="G5" s="353"/>
    </row>
    <row r="6" spans="1:7" ht="13.5">
      <c r="A6" s="350" t="s">
        <v>189</v>
      </c>
      <c r="B6" s="351"/>
      <c r="C6" s="351"/>
      <c r="D6" s="351"/>
      <c r="E6" s="351"/>
      <c r="F6" s="349"/>
      <c r="G6" s="353"/>
    </row>
    <row r="7" spans="1:7" ht="12.75">
      <c r="A7" s="352" t="s">
        <v>190</v>
      </c>
      <c r="B7" s="351"/>
      <c r="C7" s="351"/>
      <c r="D7" s="351"/>
      <c r="E7" s="351"/>
      <c r="F7" s="349"/>
      <c r="G7" s="353"/>
    </row>
    <row r="8" spans="1:7" ht="13.5" thickBot="1">
      <c r="A8" s="353"/>
      <c r="B8" s="353"/>
      <c r="C8" s="353"/>
      <c r="D8" s="353"/>
      <c r="E8" s="353"/>
      <c r="F8" s="353"/>
      <c r="G8" s="353"/>
    </row>
    <row r="9" spans="1:7" ht="36.75" thickBot="1">
      <c r="A9" s="379" t="s">
        <v>191</v>
      </c>
      <c r="B9" s="380" t="s">
        <v>9</v>
      </c>
      <c r="C9" s="381" t="s">
        <v>192</v>
      </c>
      <c r="D9" s="382" t="s">
        <v>4</v>
      </c>
      <c r="E9" s="383" t="s">
        <v>5</v>
      </c>
      <c r="F9" s="399" t="s">
        <v>10</v>
      </c>
      <c r="G9" s="387" t="s">
        <v>6</v>
      </c>
    </row>
    <row r="10" spans="1:7" ht="45">
      <c r="A10" s="376">
        <v>1</v>
      </c>
      <c r="B10" s="377" t="s">
        <v>193</v>
      </c>
      <c r="C10" s="377" t="s">
        <v>194</v>
      </c>
      <c r="D10" s="378" t="s">
        <v>1</v>
      </c>
      <c r="E10" s="384">
        <v>210</v>
      </c>
      <c r="F10" s="389"/>
      <c r="G10" s="403">
        <f>E10*F10</f>
        <v>0</v>
      </c>
    </row>
    <row r="11" spans="1:7" ht="45">
      <c r="A11" s="359">
        <v>2</v>
      </c>
      <c r="B11" s="360" t="s">
        <v>195</v>
      </c>
      <c r="C11" s="360" t="s">
        <v>196</v>
      </c>
      <c r="D11" s="361" t="s">
        <v>1</v>
      </c>
      <c r="E11" s="385">
        <v>95</v>
      </c>
      <c r="F11" s="390"/>
      <c r="G11" s="404">
        <f>E11*F11</f>
        <v>0</v>
      </c>
    </row>
    <row r="12" spans="1:7" ht="45">
      <c r="A12" s="359">
        <v>3</v>
      </c>
      <c r="B12" s="360" t="s">
        <v>197</v>
      </c>
      <c r="C12" s="360" t="s">
        <v>198</v>
      </c>
      <c r="D12" s="361" t="s">
        <v>1</v>
      </c>
      <c r="E12" s="385">
        <v>80</v>
      </c>
      <c r="F12" s="390"/>
      <c r="G12" s="404">
        <f>E12*F12</f>
        <v>0</v>
      </c>
    </row>
    <row r="13" spans="1:7" ht="15">
      <c r="A13" s="359">
        <v>4</v>
      </c>
      <c r="B13" s="360" t="s">
        <v>199</v>
      </c>
      <c r="C13" s="360" t="s">
        <v>200</v>
      </c>
      <c r="D13" s="361" t="s">
        <v>1</v>
      </c>
      <c r="E13" s="385">
        <v>415</v>
      </c>
      <c r="F13" s="391"/>
      <c r="G13" s="404">
        <f>E13*F13</f>
        <v>0</v>
      </c>
    </row>
    <row r="14" spans="1:7" ht="15">
      <c r="A14" s="359">
        <v>5</v>
      </c>
      <c r="B14" s="360" t="s">
        <v>199</v>
      </c>
      <c r="C14" s="360" t="s">
        <v>201</v>
      </c>
      <c r="D14" s="361" t="s">
        <v>1</v>
      </c>
      <c r="E14" s="385">
        <v>185</v>
      </c>
      <c r="F14" s="391"/>
      <c r="G14" s="404">
        <f>E14*F14</f>
        <v>0</v>
      </c>
    </row>
    <row r="15" spans="1:7" ht="15.75" thickBot="1">
      <c r="A15" s="362">
        <v>6</v>
      </c>
      <c r="B15" s="363" t="s">
        <v>202</v>
      </c>
      <c r="C15" s="363"/>
      <c r="D15" s="364" t="s">
        <v>203</v>
      </c>
      <c r="E15" s="386">
        <v>1</v>
      </c>
      <c r="F15" s="392"/>
      <c r="G15" s="405">
        <f>E15*F15</f>
        <v>0</v>
      </c>
    </row>
    <row r="16" spans="1:7" ht="12.75">
      <c r="A16" s="353"/>
      <c r="B16" s="353"/>
      <c r="C16" s="353"/>
      <c r="D16" s="353"/>
      <c r="E16" s="353"/>
      <c r="F16" s="347"/>
      <c r="G16" s="353"/>
    </row>
    <row r="17" spans="1:7" ht="14.25">
      <c r="A17" s="365"/>
      <c r="B17" s="366"/>
      <c r="C17" s="366"/>
      <c r="D17" s="366"/>
      <c r="E17" s="366"/>
      <c r="F17" s="367" t="s">
        <v>204</v>
      </c>
      <c r="G17" s="406">
        <f>SUM(G10:G15)</f>
        <v>0</v>
      </c>
    </row>
    <row r="18" spans="1:7" ht="12.75">
      <c r="A18" s="353"/>
      <c r="B18" s="353"/>
      <c r="C18" s="353"/>
      <c r="D18" s="353"/>
      <c r="E18" s="353"/>
      <c r="F18" s="347"/>
      <c r="G18" s="353"/>
    </row>
    <row r="19" spans="1:7" ht="12.75">
      <c r="A19" s="353"/>
      <c r="B19" s="353"/>
      <c r="C19" s="353"/>
      <c r="D19" s="353"/>
      <c r="E19" s="353"/>
      <c r="F19" s="347"/>
      <c r="G19" s="353"/>
    </row>
    <row r="20" spans="1:7" ht="13.5">
      <c r="A20" s="350" t="s">
        <v>205</v>
      </c>
      <c r="B20" s="351"/>
      <c r="C20" s="351"/>
      <c r="D20" s="351"/>
      <c r="E20" s="351"/>
      <c r="F20" s="344"/>
      <c r="G20" s="353"/>
    </row>
    <row r="21" spans="1:7" ht="12.75">
      <c r="A21" s="352" t="s">
        <v>206</v>
      </c>
      <c r="B21" s="351"/>
      <c r="C21" s="351"/>
      <c r="D21" s="351"/>
      <c r="E21" s="351"/>
      <c r="F21" s="344"/>
      <c r="G21" s="353"/>
    </row>
    <row r="22" spans="1:7" ht="13.5" thickBot="1">
      <c r="A22" s="353"/>
      <c r="B22" s="353"/>
      <c r="C22" s="353"/>
      <c r="D22" s="353"/>
      <c r="E22" s="353"/>
      <c r="F22" s="347"/>
      <c r="G22" s="353"/>
    </row>
    <row r="23" spans="1:7" ht="36.75" thickBot="1">
      <c r="A23" s="368" t="s">
        <v>207</v>
      </c>
      <c r="B23" s="354" t="s">
        <v>9</v>
      </c>
      <c r="C23" s="355" t="s">
        <v>192</v>
      </c>
      <c r="D23" s="382" t="s">
        <v>4</v>
      </c>
      <c r="E23" s="383" t="s">
        <v>5</v>
      </c>
      <c r="F23" s="399" t="s">
        <v>10</v>
      </c>
      <c r="G23" s="387" t="s">
        <v>6</v>
      </c>
    </row>
    <row r="24" spans="1:7" ht="15.75">
      <c r="A24" s="356"/>
      <c r="B24" s="369" t="s">
        <v>208</v>
      </c>
      <c r="C24" s="369"/>
      <c r="D24" s="370"/>
      <c r="E24" s="393"/>
      <c r="F24" s="390"/>
      <c r="G24" s="407"/>
    </row>
    <row r="25" spans="1:7" ht="45">
      <c r="A25" s="359">
        <v>1</v>
      </c>
      <c r="B25" s="360" t="s">
        <v>209</v>
      </c>
      <c r="C25" s="360" t="s">
        <v>210</v>
      </c>
      <c r="D25" s="361" t="s">
        <v>2</v>
      </c>
      <c r="E25" s="385">
        <v>1</v>
      </c>
      <c r="F25" s="390"/>
      <c r="G25" s="404">
        <f>E25*F25</f>
        <v>0</v>
      </c>
    </row>
    <row r="26" spans="1:7" ht="30.75" thickBot="1">
      <c r="A26" s="362">
        <v>2</v>
      </c>
      <c r="B26" s="363" t="s">
        <v>211</v>
      </c>
      <c r="C26" s="363"/>
      <c r="D26" s="364" t="s">
        <v>203</v>
      </c>
      <c r="E26" s="386">
        <v>1</v>
      </c>
      <c r="F26" s="390"/>
      <c r="G26" s="404">
        <f>E26*F26</f>
        <v>0</v>
      </c>
    </row>
    <row r="27" spans="1:7" ht="15.75">
      <c r="A27" s="356"/>
      <c r="B27" s="369" t="s">
        <v>212</v>
      </c>
      <c r="C27" s="369"/>
      <c r="D27" s="370"/>
      <c r="E27" s="393"/>
      <c r="F27" s="390"/>
      <c r="G27" s="407"/>
    </row>
    <row r="28" spans="1:7" ht="45">
      <c r="A28" s="359">
        <v>1</v>
      </c>
      <c r="B28" s="360" t="s">
        <v>209</v>
      </c>
      <c r="C28" s="360" t="s">
        <v>213</v>
      </c>
      <c r="D28" s="361" t="s">
        <v>2</v>
      </c>
      <c r="E28" s="385">
        <v>1</v>
      </c>
      <c r="F28" s="390"/>
      <c r="G28" s="404">
        <f>E28*F28</f>
        <v>0</v>
      </c>
    </row>
    <row r="29" spans="1:7" ht="45">
      <c r="A29" s="359">
        <v>2</v>
      </c>
      <c r="B29" s="360" t="s">
        <v>214</v>
      </c>
      <c r="C29" s="360" t="s">
        <v>213</v>
      </c>
      <c r="D29" s="361" t="s">
        <v>2</v>
      </c>
      <c r="E29" s="385">
        <v>1</v>
      </c>
      <c r="F29" s="390"/>
      <c r="G29" s="404">
        <f>E29*F29</f>
        <v>0</v>
      </c>
    </row>
    <row r="30" spans="1:7" ht="30.75" thickBot="1">
      <c r="A30" s="362">
        <v>3</v>
      </c>
      <c r="B30" s="363" t="s">
        <v>211</v>
      </c>
      <c r="C30" s="363"/>
      <c r="D30" s="364" t="s">
        <v>203</v>
      </c>
      <c r="E30" s="386">
        <v>1</v>
      </c>
      <c r="F30" s="390"/>
      <c r="G30" s="404">
        <f>E30*F30</f>
        <v>0</v>
      </c>
    </row>
    <row r="31" spans="1:7" ht="15.75">
      <c r="A31" s="356"/>
      <c r="B31" s="369" t="s">
        <v>215</v>
      </c>
      <c r="C31" s="369"/>
      <c r="D31" s="370"/>
      <c r="E31" s="393"/>
      <c r="F31" s="390"/>
      <c r="G31" s="407"/>
    </row>
    <row r="32" spans="1:7" ht="45">
      <c r="A32" s="359">
        <v>1</v>
      </c>
      <c r="B32" s="360" t="s">
        <v>209</v>
      </c>
      <c r="C32" s="360" t="s">
        <v>213</v>
      </c>
      <c r="D32" s="361" t="s">
        <v>2</v>
      </c>
      <c r="E32" s="385">
        <v>1</v>
      </c>
      <c r="F32" s="390"/>
      <c r="G32" s="404">
        <f>E32*F32</f>
        <v>0</v>
      </c>
    </row>
    <row r="33" spans="1:7" ht="45">
      <c r="A33" s="359">
        <v>2</v>
      </c>
      <c r="B33" s="360" t="s">
        <v>214</v>
      </c>
      <c r="C33" s="360" t="s">
        <v>213</v>
      </c>
      <c r="D33" s="361" t="s">
        <v>2</v>
      </c>
      <c r="E33" s="385">
        <v>1</v>
      </c>
      <c r="F33" s="390"/>
      <c r="G33" s="404">
        <f>E33*F33</f>
        <v>0</v>
      </c>
    </row>
    <row r="34" spans="1:7" ht="30.75" thickBot="1">
      <c r="A34" s="362">
        <v>3</v>
      </c>
      <c r="B34" s="363" t="s">
        <v>211</v>
      </c>
      <c r="C34" s="363"/>
      <c r="D34" s="364" t="s">
        <v>203</v>
      </c>
      <c r="E34" s="386">
        <v>1</v>
      </c>
      <c r="F34" s="390"/>
      <c r="G34" s="404">
        <f>E34*F34</f>
        <v>0</v>
      </c>
    </row>
    <row r="35" spans="1:7" ht="15.75">
      <c r="A35" s="356"/>
      <c r="B35" s="369" t="s">
        <v>216</v>
      </c>
      <c r="C35" s="369"/>
      <c r="D35" s="370"/>
      <c r="E35" s="393"/>
      <c r="F35" s="390"/>
      <c r="G35" s="407"/>
    </row>
    <row r="36" spans="1:7" ht="45">
      <c r="A36" s="359">
        <v>1</v>
      </c>
      <c r="B36" s="360" t="s">
        <v>209</v>
      </c>
      <c r="C36" s="360" t="s">
        <v>213</v>
      </c>
      <c r="D36" s="361" t="s">
        <v>2</v>
      </c>
      <c r="E36" s="385">
        <v>1</v>
      </c>
      <c r="F36" s="390"/>
      <c r="G36" s="404">
        <f>E36*F36</f>
        <v>0</v>
      </c>
    </row>
    <row r="37" spans="1:7" ht="30.75" thickBot="1">
      <c r="A37" s="362">
        <v>2</v>
      </c>
      <c r="B37" s="363" t="s">
        <v>211</v>
      </c>
      <c r="C37" s="363"/>
      <c r="D37" s="364" t="s">
        <v>203</v>
      </c>
      <c r="E37" s="386">
        <v>1</v>
      </c>
      <c r="F37" s="390"/>
      <c r="G37" s="404">
        <f>E37*F37</f>
        <v>0</v>
      </c>
    </row>
    <row r="38" spans="1:7" ht="15.75">
      <c r="A38" s="356"/>
      <c r="B38" s="369" t="s">
        <v>217</v>
      </c>
      <c r="C38" s="369"/>
      <c r="D38" s="370"/>
      <c r="E38" s="393"/>
      <c r="F38" s="390"/>
      <c r="G38" s="407"/>
    </row>
    <row r="39" spans="1:7" ht="45">
      <c r="A39" s="359">
        <v>1</v>
      </c>
      <c r="B39" s="360" t="s">
        <v>209</v>
      </c>
      <c r="C39" s="360" t="s">
        <v>213</v>
      </c>
      <c r="D39" s="361" t="s">
        <v>2</v>
      </c>
      <c r="E39" s="385">
        <v>1</v>
      </c>
      <c r="F39" s="390"/>
      <c r="G39" s="404">
        <f>E39*F39</f>
        <v>0</v>
      </c>
    </row>
    <row r="40" spans="1:7" ht="45">
      <c r="A40" s="359">
        <v>2</v>
      </c>
      <c r="B40" s="360" t="s">
        <v>214</v>
      </c>
      <c r="C40" s="360" t="s">
        <v>213</v>
      </c>
      <c r="D40" s="361" t="s">
        <v>2</v>
      </c>
      <c r="E40" s="385">
        <v>1</v>
      </c>
      <c r="F40" s="390"/>
      <c r="G40" s="404">
        <f>E40*F40</f>
        <v>0</v>
      </c>
    </row>
    <row r="41" spans="1:7" ht="30.75" thickBot="1">
      <c r="A41" s="362">
        <v>3</v>
      </c>
      <c r="B41" s="363" t="s">
        <v>211</v>
      </c>
      <c r="C41" s="363"/>
      <c r="D41" s="364" t="s">
        <v>203</v>
      </c>
      <c r="E41" s="386">
        <v>1</v>
      </c>
      <c r="F41" s="390"/>
      <c r="G41" s="404">
        <f>E41*F41</f>
        <v>0</v>
      </c>
    </row>
    <row r="42" spans="1:7" ht="15.75">
      <c r="A42" s="356"/>
      <c r="B42" s="369" t="s">
        <v>218</v>
      </c>
      <c r="C42" s="369"/>
      <c r="D42" s="370"/>
      <c r="E42" s="393"/>
      <c r="F42" s="390"/>
      <c r="G42" s="407"/>
    </row>
    <row r="43" spans="1:7" ht="45">
      <c r="A43" s="359">
        <v>1</v>
      </c>
      <c r="B43" s="360" t="s">
        <v>209</v>
      </c>
      <c r="C43" s="360" t="s">
        <v>213</v>
      </c>
      <c r="D43" s="361" t="s">
        <v>2</v>
      </c>
      <c r="E43" s="385">
        <v>1</v>
      </c>
      <c r="F43" s="390"/>
      <c r="G43" s="404">
        <f>E43*F43</f>
        <v>0</v>
      </c>
    </row>
    <row r="44" spans="1:7" ht="45">
      <c r="A44" s="359">
        <v>2</v>
      </c>
      <c r="B44" s="360" t="s">
        <v>214</v>
      </c>
      <c r="C44" s="360" t="s">
        <v>213</v>
      </c>
      <c r="D44" s="361" t="s">
        <v>2</v>
      </c>
      <c r="E44" s="385">
        <v>2</v>
      </c>
      <c r="F44" s="390"/>
      <c r="G44" s="404">
        <f>E44*F44</f>
        <v>0</v>
      </c>
    </row>
    <row r="45" spans="1:7" ht="30.75" thickBot="1">
      <c r="A45" s="362">
        <v>3</v>
      </c>
      <c r="B45" s="363" t="s">
        <v>211</v>
      </c>
      <c r="C45" s="363"/>
      <c r="D45" s="364" t="s">
        <v>203</v>
      </c>
      <c r="E45" s="386">
        <v>1</v>
      </c>
      <c r="F45" s="390"/>
      <c r="G45" s="404">
        <f>E45*F45</f>
        <v>0</v>
      </c>
    </row>
    <row r="46" spans="1:7" ht="15.75">
      <c r="A46" s="356"/>
      <c r="B46" s="369" t="s">
        <v>219</v>
      </c>
      <c r="C46" s="369"/>
      <c r="D46" s="370"/>
      <c r="E46" s="393"/>
      <c r="F46" s="390"/>
      <c r="G46" s="407"/>
    </row>
    <row r="47" spans="1:7" ht="45">
      <c r="A47" s="359">
        <v>1</v>
      </c>
      <c r="B47" s="360" t="s">
        <v>209</v>
      </c>
      <c r="C47" s="360" t="s">
        <v>213</v>
      </c>
      <c r="D47" s="361" t="s">
        <v>2</v>
      </c>
      <c r="E47" s="385">
        <v>1</v>
      </c>
      <c r="F47" s="390"/>
      <c r="G47" s="404">
        <f>E47*F47</f>
        <v>0</v>
      </c>
    </row>
    <row r="48" spans="1:7" ht="45">
      <c r="A48" s="359">
        <v>2</v>
      </c>
      <c r="B48" s="360" t="s">
        <v>214</v>
      </c>
      <c r="C48" s="360" t="s">
        <v>213</v>
      </c>
      <c r="D48" s="361" t="s">
        <v>2</v>
      </c>
      <c r="E48" s="385">
        <v>1</v>
      </c>
      <c r="F48" s="390"/>
      <c r="G48" s="404">
        <f>E48*F48</f>
        <v>0</v>
      </c>
    </row>
    <row r="49" spans="1:7" ht="30.75" thickBot="1">
      <c r="A49" s="362">
        <v>3</v>
      </c>
      <c r="B49" s="363" t="s">
        <v>211</v>
      </c>
      <c r="C49" s="363"/>
      <c r="D49" s="364" t="s">
        <v>203</v>
      </c>
      <c r="E49" s="386">
        <v>1</v>
      </c>
      <c r="F49" s="390"/>
      <c r="G49" s="404">
        <f>E49*F49</f>
        <v>0</v>
      </c>
    </row>
    <row r="50" spans="1:7" ht="15.75">
      <c r="A50" s="356"/>
      <c r="B50" s="369" t="s">
        <v>220</v>
      </c>
      <c r="C50" s="369"/>
      <c r="D50" s="370"/>
      <c r="E50" s="393"/>
      <c r="F50" s="390"/>
      <c r="G50" s="407"/>
    </row>
    <row r="51" spans="1:7" ht="45">
      <c r="A51" s="359">
        <v>1</v>
      </c>
      <c r="B51" s="360" t="s">
        <v>209</v>
      </c>
      <c r="C51" s="360" t="s">
        <v>213</v>
      </c>
      <c r="D51" s="361" t="s">
        <v>2</v>
      </c>
      <c r="E51" s="385">
        <v>1</v>
      </c>
      <c r="F51" s="390"/>
      <c r="G51" s="404">
        <f>E51*F51</f>
        <v>0</v>
      </c>
    </row>
    <row r="52" spans="1:7" ht="45">
      <c r="A52" s="359">
        <v>2</v>
      </c>
      <c r="B52" s="360" t="s">
        <v>214</v>
      </c>
      <c r="C52" s="360" t="s">
        <v>213</v>
      </c>
      <c r="D52" s="361" t="s">
        <v>2</v>
      </c>
      <c r="E52" s="385">
        <v>1</v>
      </c>
      <c r="F52" s="390"/>
      <c r="G52" s="404">
        <f>E52*F52</f>
        <v>0</v>
      </c>
    </row>
    <row r="53" spans="1:7" ht="30.75" thickBot="1">
      <c r="A53" s="362">
        <v>3</v>
      </c>
      <c r="B53" s="363" t="s">
        <v>211</v>
      </c>
      <c r="C53" s="363"/>
      <c r="D53" s="364" t="s">
        <v>203</v>
      </c>
      <c r="E53" s="386">
        <v>1</v>
      </c>
      <c r="F53" s="390"/>
      <c r="G53" s="404">
        <f>E53*F53</f>
        <v>0</v>
      </c>
    </row>
    <row r="54" spans="1:7" ht="15.75">
      <c r="A54" s="356"/>
      <c r="B54" s="369" t="s">
        <v>221</v>
      </c>
      <c r="C54" s="369"/>
      <c r="D54" s="370"/>
      <c r="E54" s="393"/>
      <c r="F54" s="390"/>
      <c r="G54" s="407"/>
    </row>
    <row r="55" spans="1:7" ht="45">
      <c r="A55" s="359">
        <v>1</v>
      </c>
      <c r="B55" s="360" t="s">
        <v>209</v>
      </c>
      <c r="C55" s="360" t="s">
        <v>213</v>
      </c>
      <c r="D55" s="361" t="s">
        <v>2</v>
      </c>
      <c r="E55" s="385">
        <v>1</v>
      </c>
      <c r="F55" s="390"/>
      <c r="G55" s="404">
        <f>E55*F55</f>
        <v>0</v>
      </c>
    </row>
    <row r="56" spans="1:7" ht="30.75" thickBot="1">
      <c r="A56" s="362">
        <v>2</v>
      </c>
      <c r="B56" s="363" t="s">
        <v>211</v>
      </c>
      <c r="C56" s="363"/>
      <c r="D56" s="364" t="s">
        <v>203</v>
      </c>
      <c r="E56" s="386">
        <v>1</v>
      </c>
      <c r="F56" s="390"/>
      <c r="G56" s="404">
        <f>E56*F56</f>
        <v>0</v>
      </c>
    </row>
    <row r="57" spans="1:7" ht="15.75">
      <c r="A57" s="356"/>
      <c r="B57" s="369" t="s">
        <v>222</v>
      </c>
      <c r="C57" s="369"/>
      <c r="D57" s="370"/>
      <c r="E57" s="393"/>
      <c r="F57" s="390"/>
      <c r="G57" s="407"/>
    </row>
    <row r="58" spans="1:7" ht="45">
      <c r="A58" s="359">
        <v>1</v>
      </c>
      <c r="B58" s="360" t="s">
        <v>209</v>
      </c>
      <c r="C58" s="360" t="s">
        <v>213</v>
      </c>
      <c r="D58" s="361" t="s">
        <v>2</v>
      </c>
      <c r="E58" s="385">
        <v>1</v>
      </c>
      <c r="F58" s="390"/>
      <c r="G58" s="404">
        <f>E58*F58</f>
        <v>0</v>
      </c>
    </row>
    <row r="59" spans="1:7" ht="30.75" thickBot="1">
      <c r="A59" s="362">
        <v>2</v>
      </c>
      <c r="B59" s="363" t="s">
        <v>211</v>
      </c>
      <c r="C59" s="363"/>
      <c r="D59" s="364" t="s">
        <v>203</v>
      </c>
      <c r="E59" s="386">
        <v>1</v>
      </c>
      <c r="F59" s="392"/>
      <c r="G59" s="404">
        <f>E59*F59</f>
        <v>0</v>
      </c>
    </row>
    <row r="60" spans="1:7" ht="15">
      <c r="A60" s="371"/>
      <c r="B60" s="372"/>
      <c r="C60" s="372"/>
      <c r="D60" s="371"/>
      <c r="E60" s="371"/>
      <c r="F60" s="347"/>
      <c r="G60" s="353"/>
    </row>
    <row r="61" spans="1:7" ht="14.25">
      <c r="A61" s="365"/>
      <c r="B61" s="366"/>
      <c r="C61" s="366"/>
      <c r="D61" s="366"/>
      <c r="E61" s="366"/>
      <c r="F61" s="367" t="s">
        <v>204</v>
      </c>
      <c r="G61" s="406">
        <f>SUM(G25:G59)</f>
        <v>0</v>
      </c>
    </row>
    <row r="62" spans="1:7" ht="15">
      <c r="A62" s="350" t="s">
        <v>223</v>
      </c>
      <c r="B62" s="350"/>
      <c r="C62" s="350"/>
      <c r="D62" s="350"/>
      <c r="E62" s="350"/>
      <c r="F62" s="344"/>
      <c r="G62" s="353"/>
    </row>
    <row r="63" spans="1:7" ht="13.5" thickBot="1">
      <c r="A63" s="353"/>
      <c r="B63" s="353"/>
      <c r="C63" s="353"/>
      <c r="D63" s="353"/>
      <c r="E63" s="353"/>
      <c r="F63" s="347"/>
      <c r="G63" s="353"/>
    </row>
    <row r="64" spans="1:7" ht="24.75" thickBot="1">
      <c r="A64" s="368" t="s">
        <v>207</v>
      </c>
      <c r="B64" s="354" t="s">
        <v>9</v>
      </c>
      <c r="C64" s="355" t="s">
        <v>192</v>
      </c>
      <c r="D64" s="382" t="s">
        <v>4</v>
      </c>
      <c r="E64" s="394" t="s">
        <v>5</v>
      </c>
      <c r="F64" s="400" t="s">
        <v>10</v>
      </c>
      <c r="G64" s="397" t="s">
        <v>6</v>
      </c>
    </row>
    <row r="65" spans="1:7" ht="30">
      <c r="A65" s="356">
        <v>1</v>
      </c>
      <c r="B65" s="357" t="s">
        <v>224</v>
      </c>
      <c r="C65" s="357"/>
      <c r="D65" s="358" t="s">
        <v>2</v>
      </c>
      <c r="E65" s="395">
        <v>34</v>
      </c>
      <c r="F65" s="388"/>
      <c r="G65" s="404">
        <f>E65*F65</f>
        <v>0</v>
      </c>
    </row>
    <row r="66" spans="1:7" ht="30">
      <c r="A66" s="373">
        <v>2</v>
      </c>
      <c r="B66" s="374" t="s">
        <v>225</v>
      </c>
      <c r="C66" s="374"/>
      <c r="D66" s="375" t="s">
        <v>2</v>
      </c>
      <c r="E66" s="396">
        <v>8</v>
      </c>
      <c r="F66" s="388"/>
      <c r="G66" s="404">
        <f>E66*F66</f>
        <v>0</v>
      </c>
    </row>
    <row r="67" spans="1:7" ht="60.75" thickBot="1">
      <c r="A67" s="362">
        <v>3</v>
      </c>
      <c r="B67" s="363" t="s">
        <v>226</v>
      </c>
      <c r="C67" s="363"/>
      <c r="D67" s="364" t="s">
        <v>227</v>
      </c>
      <c r="E67" s="386">
        <v>1</v>
      </c>
      <c r="F67" s="398"/>
      <c r="G67" s="405">
        <f>E67*F67</f>
        <v>0</v>
      </c>
    </row>
    <row r="68" spans="1:7" ht="15">
      <c r="A68" s="371"/>
      <c r="B68" s="372"/>
      <c r="C68" s="372"/>
      <c r="D68" s="371"/>
      <c r="E68" s="371"/>
      <c r="F68" s="353"/>
      <c r="G68" s="353"/>
    </row>
    <row r="69" spans="1:7" ht="14.25">
      <c r="A69" s="365"/>
      <c r="B69" s="366"/>
      <c r="C69" s="366"/>
      <c r="D69" s="366"/>
      <c r="E69" s="366"/>
      <c r="F69" s="406" t="s">
        <v>204</v>
      </c>
      <c r="G69" s="406">
        <f>SUM(G65:G67)</f>
        <v>0</v>
      </c>
    </row>
    <row r="70" spans="1:7" ht="12.75">
      <c r="A70" s="353"/>
      <c r="B70" s="353"/>
      <c r="C70" s="353"/>
      <c r="D70" s="353"/>
      <c r="E70" s="353"/>
      <c r="F70" s="353"/>
      <c r="G70" s="353"/>
    </row>
    <row r="71" spans="1:7" ht="12.75">
      <c r="A71" s="408"/>
      <c r="B71" s="408"/>
      <c r="C71" s="409" t="s">
        <v>228</v>
      </c>
      <c r="D71" s="410"/>
      <c r="E71" s="410"/>
      <c r="F71" s="411"/>
      <c r="G71" s="412"/>
    </row>
    <row r="72" spans="1:7" ht="12.75">
      <c r="A72" s="408"/>
      <c r="B72" s="408"/>
      <c r="C72" s="410" t="s">
        <v>229</v>
      </c>
      <c r="D72" s="410"/>
      <c r="E72" s="410"/>
      <c r="F72" s="411"/>
      <c r="G72" s="412">
        <f>SUM(G69+G61+G17)</f>
        <v>0</v>
      </c>
    </row>
    <row r="73" spans="1:7" ht="12.75">
      <c r="A73" s="408"/>
      <c r="B73" s="408"/>
      <c r="C73" s="410" t="s">
        <v>230</v>
      </c>
      <c r="D73" s="410"/>
      <c r="E73" s="410"/>
      <c r="F73" s="411"/>
      <c r="G73" s="412">
        <f>10%*G72</f>
        <v>0</v>
      </c>
    </row>
    <row r="74" spans="1:7" ht="12.75">
      <c r="A74" s="408"/>
      <c r="B74" s="408"/>
      <c r="C74" s="410"/>
      <c r="D74" s="410"/>
      <c r="E74" s="410"/>
      <c r="F74" s="411"/>
      <c r="G74" s="412"/>
    </row>
    <row r="75" spans="1:7" ht="12.75">
      <c r="A75" s="408"/>
      <c r="B75" s="408"/>
      <c r="C75" s="413" t="s">
        <v>231</v>
      </c>
      <c r="D75" s="413"/>
      <c r="E75" s="413"/>
      <c r="F75" s="414"/>
      <c r="G75" s="415">
        <f>SUM(G72:G74)</f>
        <v>0</v>
      </c>
    </row>
  </sheetData>
  <sheetProtection password="C1C7" sheet="1" objects="1" scenarios="1"/>
  <mergeCells count="10">
    <mergeCell ref="A2:C2"/>
    <mergeCell ref="D2:F2"/>
    <mergeCell ref="A3:F3"/>
    <mergeCell ref="A1:G1"/>
    <mergeCell ref="A62:E62"/>
    <mergeCell ref="A4:E4"/>
    <mergeCell ref="A6:E6"/>
    <mergeCell ref="A7:E7"/>
    <mergeCell ref="A20:E20"/>
    <mergeCell ref="A21:E21"/>
  </mergeCells>
  <printOptions/>
  <pageMargins left="0.7" right="0.7" top="0.75" bottom="0.75" header="0.3" footer="0.3"/>
  <pageSetup horizontalDpi="600" verticalDpi="600" orientation="portrait" paperSize="9" scale="70" r:id="rId2"/>
  <headerFooter>
    <oddHeader>&amp;C&amp;G</oddHeader>
    <oddFooter>&amp;C&amp;P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7"/>
  <sheetViews>
    <sheetView workbookViewId="0" topLeftCell="A1">
      <selection activeCell="B23" sqref="B23:C23"/>
    </sheetView>
  </sheetViews>
  <sheetFormatPr defaultColWidth="9.00390625" defaultRowHeight="12.75"/>
  <cols>
    <col min="1" max="1" width="4.375" style="0" customWidth="1"/>
    <col min="2" max="2" width="55.625" style="0" customWidth="1"/>
    <col min="3" max="3" width="34.625" style="0" customWidth="1"/>
  </cols>
  <sheetData>
    <row r="1" ht="13.5" thickBot="1"/>
    <row r="2" spans="1:3" ht="33.75" customHeight="1" thickBot="1">
      <c r="A2" s="323" t="s">
        <v>116</v>
      </c>
      <c r="B2" s="339"/>
      <c r="C2" s="340"/>
    </row>
    <row r="3" spans="1:3" ht="13.5" customHeight="1">
      <c r="A3" s="326" t="s">
        <v>66</v>
      </c>
      <c r="B3" s="341"/>
      <c r="C3" s="342"/>
    </row>
    <row r="4" ht="13.5" thickBot="1"/>
    <row r="5" spans="1:3" ht="18.75" customHeight="1" thickBot="1">
      <c r="A5" s="343" t="s">
        <v>173</v>
      </c>
      <c r="B5" s="339"/>
      <c r="C5" s="340"/>
    </row>
    <row r="7" spans="1:2" ht="12.75">
      <c r="A7" s="309"/>
      <c r="B7" s="309"/>
    </row>
    <row r="8" spans="1:2" ht="16.5" customHeight="1">
      <c r="A8" s="309"/>
      <c r="B8" s="309" t="s">
        <v>174</v>
      </c>
    </row>
    <row r="9" spans="1:3" ht="16.5" customHeight="1">
      <c r="A9" s="309" t="s">
        <v>175</v>
      </c>
      <c r="B9" s="317"/>
      <c r="C9" s="318" t="s">
        <v>176</v>
      </c>
    </row>
    <row r="10" spans="1:3" ht="16.5" customHeight="1">
      <c r="A10" s="309"/>
      <c r="B10" s="319" t="s">
        <v>177</v>
      </c>
      <c r="C10" t="s">
        <v>178</v>
      </c>
    </row>
    <row r="11" spans="1:2" ht="16.5" customHeight="1">
      <c r="A11" s="309"/>
      <c r="B11" s="309"/>
    </row>
    <row r="12" spans="1:3" ht="16.5" customHeight="1">
      <c r="A12" s="309" t="s">
        <v>179</v>
      </c>
      <c r="B12" s="317"/>
      <c r="C12" s="318" t="s">
        <v>176</v>
      </c>
    </row>
    <row r="13" spans="1:3" ht="16.5" customHeight="1">
      <c r="A13" s="309"/>
      <c r="B13" s="319" t="s">
        <v>177</v>
      </c>
      <c r="C13" t="s">
        <v>178</v>
      </c>
    </row>
    <row r="14" spans="1:2" ht="16.5" customHeight="1">
      <c r="A14" s="309"/>
      <c r="B14" s="309" t="s">
        <v>187</v>
      </c>
    </row>
    <row r="15" spans="1:3" ht="16.5" customHeight="1">
      <c r="A15" s="309" t="s">
        <v>180</v>
      </c>
      <c r="B15" s="317"/>
      <c r="C15" s="318" t="s">
        <v>176</v>
      </c>
    </row>
    <row r="16" spans="1:3" ht="16.5" customHeight="1">
      <c r="A16" s="309"/>
      <c r="B16" s="319" t="s">
        <v>177</v>
      </c>
      <c r="C16" t="s">
        <v>178</v>
      </c>
    </row>
    <row r="17" spans="1:2" ht="16.5" customHeight="1">
      <c r="A17" s="309"/>
      <c r="B17" s="309"/>
    </row>
    <row r="18" spans="1:3" ht="16.5" customHeight="1">
      <c r="A18" s="309" t="s">
        <v>181</v>
      </c>
      <c r="B18" s="317"/>
      <c r="C18" s="318" t="s">
        <v>176</v>
      </c>
    </row>
    <row r="19" spans="1:3" ht="16.5" customHeight="1">
      <c r="A19" s="309"/>
      <c r="B19" s="319" t="s">
        <v>177</v>
      </c>
      <c r="C19" t="s">
        <v>178</v>
      </c>
    </row>
    <row r="20" spans="1:2" ht="16.5" customHeight="1">
      <c r="A20" s="309"/>
      <c r="B20" s="319"/>
    </row>
    <row r="21" spans="1:2" ht="16.5" customHeight="1">
      <c r="A21" s="309"/>
      <c r="B21" s="320" t="s">
        <v>182</v>
      </c>
    </row>
    <row r="22" spans="1:2" ht="16.5" customHeight="1">
      <c r="A22" s="309"/>
      <c r="B22" s="319"/>
    </row>
    <row r="23" spans="1:3" ht="39" customHeight="1">
      <c r="A23" s="309"/>
      <c r="B23" s="337" t="s">
        <v>183</v>
      </c>
      <c r="C23" s="338"/>
    </row>
    <row r="24" spans="1:3" ht="24" customHeight="1">
      <c r="A24" s="309"/>
      <c r="B24" s="321" t="s">
        <v>184</v>
      </c>
      <c r="C24" s="316"/>
    </row>
    <row r="25" spans="1:2" ht="16.5" customHeight="1">
      <c r="A25" s="309"/>
      <c r="B25" s="322" t="s">
        <v>185</v>
      </c>
    </row>
    <row r="26" spans="1:2" ht="16.5" customHeight="1">
      <c r="A26" s="309"/>
      <c r="B26" s="322"/>
    </row>
    <row r="27" spans="1:2" ht="16.5" customHeight="1">
      <c r="A27" s="309"/>
      <c r="B27" s="309" t="s">
        <v>186</v>
      </c>
    </row>
  </sheetData>
  <sheetProtection/>
  <mergeCells count="4">
    <mergeCell ref="B23:C23"/>
    <mergeCell ref="A2:C2"/>
    <mergeCell ref="A3:C3"/>
    <mergeCell ref="A5:C5"/>
  </mergeCells>
  <printOptions/>
  <pageMargins left="0.7" right="0.7" top="0.75" bottom="0.75" header="0.3" footer="0.3"/>
  <pageSetup horizontalDpi="600" verticalDpi="600" orientation="portrait" paperSize="9" scale="94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 ing d.o.o.</dc:creator>
  <cp:keywords/>
  <dc:description/>
  <cp:lastModifiedBy>U</cp:lastModifiedBy>
  <cp:lastPrinted>2012-05-18T08:16:06Z</cp:lastPrinted>
  <dcterms:created xsi:type="dcterms:W3CDTF">2009-02-16T09:13:32Z</dcterms:created>
  <dcterms:modified xsi:type="dcterms:W3CDTF">2012-12-21T09:06:41Z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1QTInk1Yj6Y-oVQB4cHjvYN1iZYfgoD8snC8TLc_xqBk</vt:lpwstr>
  </property>
  <property fmtid="{D5CDD505-2E9C-101B-9397-08002B2CF9AE}" pid="4" name="Google.Documents.RevisionId">
    <vt:lpwstr>14614388569603598513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